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9540" firstSheet="1" activeTab="2"/>
  </bookViews>
  <sheets>
    <sheet name="Macro1" sheetId="1" state="veryHidden" r:id="rId1"/>
    <sheet name="快速设计版" sheetId="2" r:id="rId2"/>
    <sheet name="高级版" sheetId="3" r:id="rId3"/>
    <sheet name="7W标准demo版" sheetId="4" r:id="rId4"/>
    <sheet name="常用变压器磁芯" sheetId="5" r:id="rId5"/>
  </sheets>
  <definedNames/>
  <calcPr fullCalcOnLoad="1"/>
</workbook>
</file>

<file path=xl/sharedStrings.xml><?xml version="1.0" encoding="utf-8"?>
<sst xmlns="http://schemas.openxmlformats.org/spreadsheetml/2006/main" count="388" uniqueCount="285">
  <si>
    <t>红色字体   12345</t>
  </si>
  <si>
    <r>
      <rPr>
        <b/>
        <i/>
        <sz val="12"/>
        <color indexed="30"/>
        <rFont val="宋体"/>
        <family val="0"/>
      </rPr>
      <t>蓝色字体</t>
    </r>
    <r>
      <rPr>
        <b/>
        <i/>
        <sz val="12"/>
        <color indexed="30"/>
        <rFont val="Times New Roman"/>
        <family val="1"/>
      </rPr>
      <t xml:space="preserve">      12345</t>
    </r>
  </si>
  <si>
    <t>需要填入的参数</t>
  </si>
  <si>
    <t>最小交流输入电压</t>
  </si>
  <si>
    <t>V</t>
  </si>
  <si>
    <t>黑色字体   12345</t>
  </si>
  <si>
    <t>计算得到的参数</t>
  </si>
  <si>
    <t>最大交流输入电压</t>
  </si>
  <si>
    <t>最大输出电压</t>
  </si>
  <si>
    <t>额定输出电流</t>
  </si>
  <si>
    <t>Io</t>
  </si>
  <si>
    <t>A</t>
  </si>
  <si>
    <t>芯片最高供电电压</t>
  </si>
  <si>
    <t>输出开路限压值</t>
  </si>
  <si>
    <t>Vout_ov</t>
  </si>
  <si>
    <t>变压器参数</t>
  </si>
  <si>
    <t>Eff_T</t>
  </si>
  <si>
    <t>骨架窗口槽宽</t>
  </si>
  <si>
    <t>Bobbin width</t>
  </si>
  <si>
    <t>mm</t>
  </si>
  <si>
    <t>磁芯有效横截面积</t>
  </si>
  <si>
    <t>Ae</t>
  </si>
  <si>
    <r>
      <t>mm</t>
    </r>
    <r>
      <rPr>
        <vertAlign val="superscript"/>
        <sz val="11"/>
        <rFont val="黑体"/>
        <family val="3"/>
      </rPr>
      <t>2</t>
    </r>
  </si>
  <si>
    <t>骨架窗口槽深</t>
  </si>
  <si>
    <t>Bobbin Deep</t>
  </si>
  <si>
    <t>最大磁通密度</t>
  </si>
  <si>
    <t>Bmax</t>
  </si>
  <si>
    <t>绕制后的总厚度</t>
  </si>
  <si>
    <t>Winding Deep</t>
  </si>
  <si>
    <t>初级电感量</t>
  </si>
  <si>
    <t>Lp</t>
  </si>
  <si>
    <t>uH</t>
  </si>
  <si>
    <t>漆包线线外径</t>
  </si>
  <si>
    <t>估算层数</t>
  </si>
  <si>
    <t>估算厚度</t>
  </si>
  <si>
    <t>初级绕组匝数</t>
  </si>
  <si>
    <t>Np</t>
  </si>
  <si>
    <r>
      <rPr>
        <sz val="11"/>
        <color indexed="8"/>
        <rFont val="黑体"/>
        <family val="3"/>
      </rPr>
      <t>匝</t>
    </r>
  </si>
  <si>
    <t>次级绕组匝数</t>
  </si>
  <si>
    <t>Ns</t>
  </si>
  <si>
    <t>辅助绕组匝数</t>
  </si>
  <si>
    <t>Na</t>
  </si>
  <si>
    <t>其他绕组和胶带等物质的总厚度</t>
  </si>
  <si>
    <t>电源关键参数</t>
  </si>
  <si>
    <t>uS</t>
  </si>
  <si>
    <t>Vo</t>
  </si>
  <si>
    <t>Tdem</t>
  </si>
  <si>
    <t>芯片供电电压</t>
  </si>
  <si>
    <t>Vdd</t>
  </si>
  <si>
    <t>F_min</t>
  </si>
  <si>
    <r>
      <t>k</t>
    </r>
    <r>
      <rPr>
        <sz val="11"/>
        <color indexed="8"/>
        <rFont val="黑体"/>
        <family val="3"/>
      </rPr>
      <t>Hz</t>
    </r>
  </si>
  <si>
    <t>最大工作频率</t>
  </si>
  <si>
    <t>Ip_max</t>
  </si>
  <si>
    <t>A</t>
  </si>
  <si>
    <t>次级峰值电流&amp;85Vac</t>
  </si>
  <si>
    <t>Is_max</t>
  </si>
  <si>
    <t>初级峰值电流&amp;85Vac</t>
  </si>
  <si>
    <t>Ω</t>
  </si>
  <si>
    <t>R5/R6</t>
  </si>
  <si>
    <t>最大磁通密度&amp;85Vac</t>
  </si>
  <si>
    <t>Bsat</t>
  </si>
  <si>
    <t>红色字体</t>
  </si>
  <si>
    <t>蓝色字体</t>
  </si>
  <si>
    <t>需要填入的参数</t>
  </si>
  <si>
    <t>黑色字体</t>
  </si>
  <si>
    <t>计算出的参数</t>
  </si>
  <si>
    <t>V</t>
  </si>
  <si>
    <t>Io</t>
  </si>
  <si>
    <t>变压器参数</t>
  </si>
  <si>
    <t>磁芯有效横截面积</t>
  </si>
  <si>
    <t>Ae</t>
  </si>
  <si>
    <r>
      <t>mm</t>
    </r>
    <r>
      <rPr>
        <vertAlign val="superscript"/>
        <sz val="11"/>
        <rFont val="黑体"/>
        <family val="3"/>
      </rPr>
      <t>2</t>
    </r>
  </si>
  <si>
    <t>初级电感量</t>
  </si>
  <si>
    <t>Lp</t>
  </si>
  <si>
    <t>uH</t>
  </si>
  <si>
    <t>第二步：变压器设计</t>
  </si>
  <si>
    <t>原边绕组匝数</t>
  </si>
  <si>
    <t>Np</t>
  </si>
  <si>
    <r>
      <rPr>
        <sz val="11"/>
        <color indexed="8"/>
        <rFont val="黑体"/>
        <family val="3"/>
      </rPr>
      <t>匝</t>
    </r>
  </si>
  <si>
    <t>副边绕组匝数</t>
  </si>
  <si>
    <t>Ns</t>
  </si>
  <si>
    <t>辅助绕组匝数</t>
  </si>
  <si>
    <t>Na</t>
  </si>
  <si>
    <t>Is_max</t>
  </si>
  <si>
    <t>Ma</t>
  </si>
  <si>
    <t>使用介绍：</t>
  </si>
  <si>
    <t>A</t>
  </si>
  <si>
    <t>第三步：主要元器件计算</t>
  </si>
  <si>
    <t xml:space="preserve">   计算初级检流电阻值。计算Dsen脚上下电阻值比率。</t>
  </si>
  <si>
    <t>需要注意的参数</t>
  </si>
  <si>
    <t>需要注意的参数</t>
  </si>
  <si>
    <t>电源板传输效率</t>
  </si>
  <si>
    <t>最小交流输入电压</t>
  </si>
  <si>
    <t>最大交流输入电压</t>
  </si>
  <si>
    <t>最大输出电压</t>
  </si>
  <si>
    <t>额定输出电流</t>
  </si>
  <si>
    <t>芯片供电电压</t>
  </si>
  <si>
    <t>输出开路限压值</t>
  </si>
  <si>
    <t>输出功率</t>
  </si>
  <si>
    <t>磁芯</t>
  </si>
  <si>
    <t>型号</t>
  </si>
  <si>
    <r>
      <t>Ae(mm</t>
    </r>
    <r>
      <rPr>
        <sz val="11"/>
        <color indexed="8"/>
        <rFont val="宋体"/>
        <family val="0"/>
      </rPr>
      <t>²</t>
    </r>
    <r>
      <rPr>
        <sz val="11"/>
        <color indexed="8"/>
        <rFont val="宋体"/>
        <family val="0"/>
      </rPr>
      <t>)</t>
    </r>
  </si>
  <si>
    <r>
      <t>3</t>
    </r>
    <r>
      <rPr>
        <sz val="11"/>
        <color indexed="8"/>
        <rFont val="宋体"/>
        <family val="0"/>
      </rPr>
      <t>W</t>
    </r>
  </si>
  <si>
    <t>EE13</t>
  </si>
  <si>
    <r>
      <t>E</t>
    </r>
    <r>
      <rPr>
        <sz val="11"/>
        <color indexed="8"/>
        <rFont val="宋体"/>
        <family val="0"/>
      </rPr>
      <t>PC13</t>
    </r>
  </si>
  <si>
    <r>
      <t>4W</t>
    </r>
  </si>
  <si>
    <r>
      <t>E</t>
    </r>
    <r>
      <rPr>
        <sz val="11"/>
        <color indexed="8"/>
        <rFont val="宋体"/>
        <family val="0"/>
      </rPr>
      <t>FD15</t>
    </r>
  </si>
  <si>
    <r>
      <t>5W</t>
    </r>
  </si>
  <si>
    <r>
      <t>E</t>
    </r>
    <r>
      <rPr>
        <sz val="11"/>
        <color indexed="8"/>
        <rFont val="宋体"/>
        <family val="0"/>
      </rPr>
      <t>E16</t>
    </r>
  </si>
  <si>
    <r>
      <t>E</t>
    </r>
    <r>
      <rPr>
        <sz val="11"/>
        <color indexed="8"/>
        <rFont val="宋体"/>
        <family val="0"/>
      </rPr>
      <t>PC17</t>
    </r>
  </si>
  <si>
    <r>
      <t>R</t>
    </r>
    <r>
      <rPr>
        <sz val="11"/>
        <color indexed="8"/>
        <rFont val="宋体"/>
        <family val="0"/>
      </rPr>
      <t>M6</t>
    </r>
  </si>
  <si>
    <r>
      <t>6W</t>
    </r>
  </si>
  <si>
    <r>
      <t>7W</t>
    </r>
  </si>
  <si>
    <t>EE19</t>
  </si>
  <si>
    <r>
      <t>E</t>
    </r>
    <r>
      <rPr>
        <sz val="11"/>
        <color indexed="8"/>
        <rFont val="宋体"/>
        <family val="0"/>
      </rPr>
      <t>PC19</t>
    </r>
  </si>
  <si>
    <r>
      <t>8W</t>
    </r>
  </si>
  <si>
    <t>RM8</t>
  </si>
  <si>
    <r>
      <t>9W</t>
    </r>
  </si>
  <si>
    <r>
      <t>10W</t>
    </r>
  </si>
  <si>
    <t>EE20</t>
  </si>
  <si>
    <r>
      <t>E</t>
    </r>
    <r>
      <rPr>
        <sz val="11"/>
        <color indexed="8"/>
        <rFont val="宋体"/>
        <family val="0"/>
      </rPr>
      <t>FD20</t>
    </r>
  </si>
  <si>
    <r>
      <t>E</t>
    </r>
    <r>
      <rPr>
        <sz val="11"/>
        <color indexed="8"/>
        <rFont val="宋体"/>
        <family val="0"/>
      </rPr>
      <t>TD19</t>
    </r>
  </si>
  <si>
    <t>PQ2016</t>
  </si>
  <si>
    <r>
      <t>RM</t>
    </r>
    <r>
      <rPr>
        <sz val="11"/>
        <color indexed="8"/>
        <rFont val="宋体"/>
        <family val="0"/>
      </rPr>
      <t>10</t>
    </r>
  </si>
  <si>
    <r>
      <t>12W</t>
    </r>
  </si>
  <si>
    <r>
      <t>E</t>
    </r>
    <r>
      <rPr>
        <sz val="11"/>
        <color indexed="8"/>
        <rFont val="宋体"/>
        <family val="0"/>
      </rPr>
      <t>FD21</t>
    </r>
  </si>
  <si>
    <r>
      <t>15W</t>
    </r>
  </si>
  <si>
    <r>
      <t>E</t>
    </r>
    <r>
      <rPr>
        <sz val="11"/>
        <color indexed="8"/>
        <rFont val="宋体"/>
        <family val="0"/>
      </rPr>
      <t>E22</t>
    </r>
  </si>
  <si>
    <r>
      <t>E</t>
    </r>
    <r>
      <rPr>
        <sz val="11"/>
        <color indexed="8"/>
        <rFont val="宋体"/>
        <family val="0"/>
      </rPr>
      <t>PC25</t>
    </r>
  </si>
  <si>
    <t>ER2509</t>
  </si>
  <si>
    <t>EDR2602</t>
  </si>
  <si>
    <r>
      <t>18W</t>
    </r>
  </si>
  <si>
    <t>EE25</t>
  </si>
  <si>
    <r>
      <t>E</t>
    </r>
    <r>
      <rPr>
        <sz val="11"/>
        <color indexed="8"/>
        <rFont val="宋体"/>
        <family val="0"/>
      </rPr>
      <t>TD24</t>
    </r>
  </si>
  <si>
    <t>PQ2020</t>
  </si>
  <si>
    <r>
      <t>20W</t>
    </r>
  </si>
  <si>
    <t>ER2510</t>
  </si>
  <si>
    <r>
      <t>23W</t>
    </r>
  </si>
  <si>
    <t>PQ2620</t>
  </si>
  <si>
    <r>
      <t>25W</t>
    </r>
  </si>
  <si>
    <t>槽宽(mm)</t>
  </si>
  <si>
    <t>槽深(mm)</t>
  </si>
  <si>
    <t>注：</t>
  </si>
  <si>
    <r>
      <t>2</t>
    </r>
    <r>
      <rPr>
        <sz val="11"/>
        <color indexed="8"/>
        <rFont val="宋体"/>
        <family val="0"/>
      </rPr>
      <t>.3</t>
    </r>
    <r>
      <rPr>
        <sz val="11"/>
        <color indexed="8"/>
        <rFont val="宋体"/>
        <family val="0"/>
      </rPr>
      <t>～3.6</t>
    </r>
  </si>
  <si>
    <t>表格内提供的变压器参考选型只适用于反激50kHz以上频率。</t>
  </si>
  <si>
    <r>
      <t>PQ262</t>
    </r>
    <r>
      <rPr>
        <sz val="11"/>
        <color indexed="8"/>
        <rFont val="宋体"/>
        <family val="0"/>
      </rPr>
      <t>5</t>
    </r>
  </si>
  <si>
    <r>
      <t>E</t>
    </r>
    <r>
      <rPr>
        <sz val="11"/>
        <color indexed="8"/>
        <rFont val="宋体"/>
        <family val="0"/>
      </rPr>
      <t>DR2609</t>
    </r>
  </si>
  <si>
    <t>根据实际的输出功率，对应表格选择合适的磁芯，并留些余量。</t>
  </si>
  <si>
    <r>
      <t>E</t>
    </r>
    <r>
      <rPr>
        <sz val="11"/>
        <color indexed="8"/>
        <rFont val="宋体"/>
        <family val="0"/>
      </rPr>
      <t>DR3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09</t>
    </r>
  </si>
  <si>
    <t>常用型号磁芯选择与Ae值。    （不同厂家生产的磁芯，Ae值有所不同，下面的数据仅供参考）</t>
  </si>
  <si>
    <t>最小开关频率</t>
  </si>
  <si>
    <t>Freq_min</t>
  </si>
  <si>
    <t>最大导通时间</t>
  </si>
  <si>
    <t>Ton_max</t>
  </si>
  <si>
    <t>最大退磁时间</t>
  </si>
  <si>
    <t>Tdem_max</t>
  </si>
  <si>
    <t>最小导通时间</t>
  </si>
  <si>
    <t>Ton_min</t>
  </si>
  <si>
    <t>最大开关频率</t>
  </si>
  <si>
    <t>Freq_max</t>
  </si>
  <si>
    <t>最大初级电流</t>
  </si>
  <si>
    <t>Ippk_max</t>
  </si>
  <si>
    <t>最大次级电流</t>
  </si>
  <si>
    <t>Ispk_max</t>
  </si>
  <si>
    <t>初级采样电阻</t>
  </si>
  <si>
    <t>Rcs</t>
  </si>
  <si>
    <t>DSEN脚上下电阻比例</t>
  </si>
  <si>
    <t>R5/R6</t>
  </si>
  <si>
    <r>
      <t>u</t>
    </r>
    <r>
      <rPr>
        <sz val="11"/>
        <color indexed="8"/>
        <rFont val="黑体"/>
        <family val="3"/>
      </rPr>
      <t>S</t>
    </r>
  </si>
  <si>
    <t>uS</t>
  </si>
  <si>
    <t>KHz</t>
  </si>
  <si>
    <t>A</t>
  </si>
  <si>
    <t>Ω</t>
  </si>
  <si>
    <t>基本参数</t>
  </si>
  <si>
    <t xml:space="preserve"> 
</t>
  </si>
  <si>
    <t>快速设计版</t>
  </si>
  <si>
    <t>计算工具使用说明</t>
  </si>
  <si>
    <t>在填写参数时，如出现告警信息，须按照告警信息更改所填参数。</t>
  </si>
  <si>
    <t>第一步：根据需要在蓝色字体框内填入基本参数</t>
  </si>
  <si>
    <t>1、依次填入交流输入电压、最大输出电压、额定输出电流；</t>
  </si>
  <si>
    <t>Vdd</t>
  </si>
  <si>
    <r>
      <t xml:space="preserve">      </t>
    </r>
    <r>
      <rPr>
        <sz val="11"/>
        <color theme="1"/>
        <rFont val="Calibri"/>
        <family val="0"/>
      </rPr>
      <t>开关频率取得最小值Freq_min，建议取值范围为（40Khz，80Khz）；</t>
    </r>
  </si>
  <si>
    <t>Vac_max</t>
  </si>
  <si>
    <t>Vac_min</t>
  </si>
  <si>
    <t xml:space="preserve">   通常情况下，DSEN脚的下拉电阻R6取10Kohm，如果希望调整输出开路限</t>
  </si>
  <si>
    <t>而编写，将一些参数设为固定值：最大磁通密度为0.3，反射电压120V，</t>
  </si>
  <si>
    <r>
      <rPr>
        <sz val="11"/>
        <color indexed="8"/>
        <rFont val="宋体"/>
        <family val="0"/>
      </rPr>
      <t>变压器传输效率</t>
    </r>
    <r>
      <rPr>
        <sz val="11"/>
        <color indexed="8"/>
        <rFont val="Times New Roman"/>
        <family val="1"/>
      </rPr>
      <t>0.9</t>
    </r>
    <r>
      <rPr>
        <sz val="11"/>
        <color indexed="8"/>
        <rFont val="宋体"/>
        <family val="0"/>
      </rPr>
      <t>。如果需要调整这些参数，请使用“高级版”计算工具。</t>
    </r>
  </si>
  <si>
    <r>
      <t>2</t>
    </r>
    <r>
      <rPr>
        <sz val="11"/>
        <color indexed="8"/>
        <rFont val="宋体"/>
        <family val="0"/>
      </rPr>
      <t>、在正常工作时，辅助绕组向控制电路提供能量，为保证电路正常工作，</t>
    </r>
  </si>
  <si>
    <t xml:space="preserve">   导通时间Ton取最大值Ton_max，推辞时间Tdem取最大值Tdem_max，</t>
  </si>
  <si>
    <t xml:space="preserve">   选好磁芯后，查找并填入磁芯的有效横截面积。如果发现计算的匝数</t>
  </si>
  <si>
    <t xml:space="preserve">   绕不下，可以增大Freq_min，也可以选择更大Ae值的磁芯，或者</t>
  </si>
  <si>
    <r>
      <t xml:space="preserve"> </t>
    </r>
    <r>
      <rPr>
        <sz val="11"/>
        <color theme="1"/>
        <rFont val="Calibri"/>
        <family val="0"/>
      </rPr>
      <t xml:space="preserve">  </t>
    </r>
    <r>
      <rPr>
        <sz val="11"/>
        <color indexed="8"/>
        <rFont val="宋体"/>
        <family val="0"/>
      </rPr>
      <t>使用“高级版”计算工具更改反射电压Vor。</t>
    </r>
  </si>
  <si>
    <t xml:space="preserve">   压值，只需要调整DSEN脚上拉电阻R5即可。</t>
  </si>
  <si>
    <r>
      <t>4、输出开路限压值Vout</t>
    </r>
    <r>
      <rPr>
        <sz val="11"/>
        <color theme="1"/>
        <rFont val="Calibri"/>
        <family val="0"/>
      </rPr>
      <t>_ov</t>
    </r>
    <r>
      <rPr>
        <sz val="11"/>
        <color indexed="8"/>
        <rFont val="宋体"/>
        <family val="0"/>
      </rPr>
      <t>：最小为Vo</t>
    </r>
    <r>
      <rPr>
        <sz val="11"/>
        <color theme="1"/>
        <rFont val="Calibri"/>
        <family val="0"/>
      </rPr>
      <t>_max+2V，最大为2*Vo_max；</t>
    </r>
  </si>
  <si>
    <t>高级版</t>
  </si>
  <si>
    <t>Vac_min</t>
  </si>
  <si>
    <t>Vac_max</t>
  </si>
  <si>
    <t>Vo</t>
  </si>
  <si>
    <t>Vo</t>
  </si>
  <si>
    <t>Vdd</t>
  </si>
  <si>
    <t>最小开关频率</t>
  </si>
  <si>
    <t>Freq_min</t>
  </si>
  <si>
    <t>反射电压</t>
  </si>
  <si>
    <t>Vor</t>
  </si>
  <si>
    <t>Nps</t>
  </si>
  <si>
    <t>初次级匝数比Np/Ns</t>
  </si>
  <si>
    <r>
      <t>最大</t>
    </r>
    <r>
      <rPr>
        <sz val="11"/>
        <color indexed="8"/>
        <rFont val="宋体"/>
        <family val="0"/>
      </rPr>
      <t>导通时间</t>
    </r>
  </si>
  <si>
    <t>Ton_max</t>
  </si>
  <si>
    <t>最大去磁时间</t>
  </si>
  <si>
    <t>最小开关频率</t>
  </si>
  <si>
    <t>最小导通时间</t>
  </si>
  <si>
    <t>Freq_max</t>
  </si>
  <si>
    <t>初级最大峰值电流</t>
  </si>
  <si>
    <t>Ippk</t>
  </si>
  <si>
    <t>Ispk</t>
  </si>
  <si>
    <t>初级电流检测电阻</t>
  </si>
  <si>
    <t>Rcs</t>
  </si>
  <si>
    <t>Dsen脚上下电阻值比率</t>
  </si>
  <si>
    <t>3. 反射电压Vor的取值范围为(80,140)</t>
  </si>
  <si>
    <t>2. 最小开关频率Freq_min的取值范围为(40,80)</t>
  </si>
  <si>
    <t>4. Vout_ov取值范围为（Vo+2V,2*Vo)</t>
  </si>
  <si>
    <t>5. 变压器的传输效率取值范围为(80%,92%)</t>
  </si>
  <si>
    <r>
      <t>6</t>
    </r>
    <r>
      <rPr>
        <sz val="11"/>
        <color theme="1"/>
        <rFont val="Calibri"/>
        <family val="0"/>
      </rPr>
      <t>. Bmax取值范围是(0.20,0.31)</t>
    </r>
  </si>
  <si>
    <t>变化Vo，系统关键参数</t>
  </si>
  <si>
    <t>Vac_min时的Ton</t>
  </si>
  <si>
    <t>Vac_min波峰时的Tdem</t>
  </si>
  <si>
    <t>Ton</t>
  </si>
  <si>
    <t>Freq</t>
  </si>
  <si>
    <t>Vac_max时的Ton</t>
  </si>
  <si>
    <t>最大开关频率</t>
  </si>
  <si>
    <r>
      <t>K</t>
    </r>
    <r>
      <rPr>
        <sz val="11"/>
        <color indexed="8"/>
        <rFont val="黑体"/>
        <family val="3"/>
      </rPr>
      <t>Hz</t>
    </r>
  </si>
  <si>
    <t>KHz</t>
  </si>
  <si>
    <r>
      <t>u</t>
    </r>
    <r>
      <rPr>
        <sz val="11"/>
        <color indexed="8"/>
        <rFont val="黑体"/>
        <family val="3"/>
      </rPr>
      <t>S</t>
    </r>
  </si>
  <si>
    <t>kHz</t>
  </si>
  <si>
    <t>T</t>
  </si>
  <si>
    <t>》</t>
  </si>
  <si>
    <r>
      <rPr>
        <sz val="11"/>
        <rFont val="宋体"/>
        <family val="0"/>
      </rPr>
      <t>输出电压</t>
    </r>
    <r>
      <rPr>
        <sz val="11"/>
        <rFont val="Times New Roman"/>
        <family val="1"/>
      </rPr>
      <t xml:space="preserve"> (</t>
    </r>
    <r>
      <rPr>
        <sz val="11"/>
        <rFont val="宋体"/>
        <family val="0"/>
      </rPr>
      <t>向下兼容</t>
    </r>
    <r>
      <rPr>
        <sz val="11"/>
        <rFont val="Times New Roman"/>
        <family val="1"/>
      </rPr>
      <t>)</t>
    </r>
  </si>
  <si>
    <t>基本参数</t>
  </si>
  <si>
    <t>骨架参数</t>
  </si>
  <si>
    <r>
      <t>提示信息：</t>
    </r>
    <r>
      <rPr>
        <sz val="11"/>
        <color indexed="8"/>
        <rFont val="黑体"/>
        <family val="3"/>
      </rPr>
      <t xml:space="preserve">
</t>
    </r>
    <r>
      <rPr>
        <sz val="10"/>
        <color indexed="8"/>
        <rFont val="宋体"/>
        <family val="0"/>
      </rPr>
      <t>1. 若希望电源板通过AC1KV以上的绝缘耐压测试，
   绕制变压器时Np、Na、内屏蔽绕组应使用普通
   漆包线，Ns绕组采用三重绝缘线；
2. “其他绕组和胶带等物质”包括变压器线包中所
   有绝缘胶带的总厚度、内屏蔽绕组厚度，
   每层绝缘胶带的厚度为0.05mm；
3. 通常，DSEN下拉电阻采用10Kohm，由此算R5；
4. 最大磁通密度为0.31T，如果客户磁芯质量比较
   好，可以自行放宽到0.35T；</t>
    </r>
  </si>
  <si>
    <t>5 “变化Vo，系统关键参数”部分，是考虑到Vo兼容
   范围而设置的，Vo的取值范围为(50%,100%)；
6. 为了更详细地了解所设计的电源的内部工作情况，
   特制作了右侧表格。通过该表格，可以了解输入电压
   在AC85～264V、Vo兼容范围从50%～100%、变压器
   初级电感量-10%～+10%变化时整个系统的工作情况；
7. 关于计算误差：本计算表格忽略的一些寄生参数，
   计算结果不是非常准确，粗略估计误差在±10%以内；
   建议设计人员以此为基础，与实验结果相对照，
   对相关参数进行微调，以得到满意的电源产品。</t>
  </si>
  <si>
    <t>计算结果</t>
  </si>
  <si>
    <t>AC输入
电压(V)</t>
  </si>
  <si>
    <t>输出电压
Vo(V)</t>
  </si>
  <si>
    <t>采样电阻
Rcs(ohm)</t>
  </si>
  <si>
    <t>变压器
Lp(uH)</t>
  </si>
  <si>
    <t>变压器
Np</t>
  </si>
  <si>
    <t>变压器
Ns</t>
  </si>
  <si>
    <t>变压器
Na</t>
  </si>
  <si>
    <t>Vdd电压
(V)</t>
  </si>
  <si>
    <t>输出电
流Io(A)</t>
  </si>
  <si>
    <t>电源内部工作参数（根据实际参数计算出来的结果）</t>
  </si>
  <si>
    <t>角度</t>
  </si>
  <si>
    <t>弧度</t>
  </si>
  <si>
    <t>母线电压
Vin(V)</t>
  </si>
  <si>
    <t>母线电流
Iin_av(A)</t>
  </si>
  <si>
    <t>导通时间
Ton(us)</t>
  </si>
  <si>
    <t>退磁时间
Tdem(us)</t>
  </si>
  <si>
    <t>开关频率
Freq(Khz)</t>
  </si>
  <si>
    <t>Ippk
(A)</t>
  </si>
  <si>
    <t>Ispk
(A)</t>
  </si>
  <si>
    <t>实际参数</t>
  </si>
  <si>
    <t>开关周
期(us)</t>
  </si>
  <si>
    <t>工作
模式</t>
  </si>
  <si>
    <t>&gt;&gt;</t>
  </si>
  <si>
    <t>基于MT7933设计高PF LED电源的计算工具</t>
  </si>
  <si>
    <t>公式引自《MT7933-高PF-LED恒流驱动电源-应用设计指南》</t>
  </si>
  <si>
    <r>
      <t xml:space="preserve">   此表格为使电源设计者能快速成功使用MT793</t>
    </r>
    <r>
      <rPr>
        <sz val="11"/>
        <rFont val="宋体"/>
        <family val="0"/>
      </rPr>
      <t>3</t>
    </r>
    <r>
      <rPr>
        <sz val="11"/>
        <rFont val="宋体"/>
        <family val="0"/>
      </rPr>
      <t>芯片应用在高PF LED电源</t>
    </r>
  </si>
  <si>
    <r>
      <t>3</t>
    </r>
    <r>
      <rPr>
        <sz val="11"/>
        <color indexed="8"/>
        <rFont val="宋体"/>
        <family val="0"/>
      </rPr>
      <t>、最小开关频率：MT793</t>
    </r>
    <r>
      <rPr>
        <sz val="11"/>
        <color theme="1"/>
        <rFont val="Calibri"/>
        <family val="0"/>
      </rPr>
      <t>3</t>
    </r>
    <r>
      <rPr>
        <sz val="11"/>
        <color indexed="8"/>
        <rFont val="宋体"/>
        <family val="0"/>
      </rPr>
      <t>工作在CRM模式，在最低交流输入电压、波峰处，</t>
    </r>
  </si>
  <si>
    <t>更详细的设计，请查阅《MT7933-高PF-LED恒流驱动电源-应用设计指南》</t>
  </si>
  <si>
    <t>基于MT7933设计高PF LED电源的计算工具  ——  系统详细工作参数</t>
  </si>
  <si>
    <t>基于MT7933设计高PF LED电源的计算工具</t>
  </si>
  <si>
    <t>公式引自《MT7933-高PF-LED恒流驱动电源-应用设计指南》</t>
  </si>
  <si>
    <t>OK</t>
  </si>
  <si>
    <r>
      <t>E</t>
    </r>
    <r>
      <rPr>
        <sz val="11"/>
        <color indexed="8"/>
        <rFont val="宋体"/>
        <family val="0"/>
      </rPr>
      <t>TD19</t>
    </r>
  </si>
  <si>
    <t>表格中的参数仅供参考，请以磁芯或变压器供应商的数据为准。</t>
  </si>
  <si>
    <t>以上数据仅供参考，应以实际数据为准。</t>
  </si>
  <si>
    <t>MT7933-7W-330mA标准demo板的原理图</t>
  </si>
  <si>
    <t>MT7933-7W-330mA标准demo板的变压器参数</t>
  </si>
  <si>
    <t>对于磁芯的Ae值、骨架的槽宽和槽深，各个厂家的标准不同，具体数值</t>
  </si>
  <si>
    <t>会有所差别，比如磁芯EE13，Ae值为13.8、16.0、17.1不等，</t>
  </si>
  <si>
    <r>
      <t xml:space="preserve">   芯片供电电压Vdd应设在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0</t>
    </r>
    <r>
      <rPr>
        <sz val="11"/>
        <color indexed="8"/>
        <rFont val="宋体"/>
        <family val="0"/>
      </rPr>
      <t>～</t>
    </r>
    <r>
      <rPr>
        <sz val="11"/>
        <color indexed="8"/>
        <rFont val="宋体"/>
        <family val="0"/>
      </rPr>
      <t>22</t>
    </r>
    <r>
      <rPr>
        <sz val="11"/>
        <color theme="1"/>
        <rFont val="Calibri"/>
        <family val="0"/>
      </rPr>
      <t>.0</t>
    </r>
    <r>
      <rPr>
        <sz val="11"/>
        <color indexed="8"/>
        <rFont val="宋体"/>
        <family val="0"/>
      </rPr>
      <t>V，建议取值</t>
    </r>
    <r>
      <rPr>
        <sz val="11"/>
        <color indexed="8"/>
        <rFont val="宋体"/>
        <family val="0"/>
      </rPr>
      <t>12～20V；</t>
    </r>
  </si>
  <si>
    <t>1. Vdd取值范围为(9,22)</t>
  </si>
  <si>
    <t xml:space="preserve"> Rev 2.0</t>
  </si>
  <si>
    <t xml:space="preserve">    Rev2.0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</si>
</sst>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_ "/>
    <numFmt numFmtId="187" formatCode="0.000_ "/>
    <numFmt numFmtId="188" formatCode="0.00_);[Red]\(0.00\)"/>
    <numFmt numFmtId="189" formatCode="0.0_);[Red]\(0.0\)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_ "/>
  </numFmts>
  <fonts count="8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姚体"/>
      <family val="0"/>
    </font>
    <font>
      <sz val="14"/>
      <name val="方正姚体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黑体"/>
      <family val="3"/>
    </font>
    <font>
      <b/>
      <i/>
      <sz val="12"/>
      <color indexed="30"/>
      <name val="宋体"/>
      <family val="0"/>
    </font>
    <font>
      <b/>
      <i/>
      <sz val="12"/>
      <color indexed="30"/>
      <name val="Times New Roman"/>
      <family val="1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黑体"/>
      <family val="3"/>
    </font>
    <font>
      <vertAlign val="superscript"/>
      <sz val="11"/>
      <name val="黑体"/>
      <family val="3"/>
    </font>
    <font>
      <sz val="12"/>
      <name val="黑体"/>
      <family val="3"/>
    </font>
    <font>
      <sz val="11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2"/>
      <color indexed="17"/>
      <name val="Times New Roman"/>
      <family val="1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30"/>
      <name val="宋体"/>
      <family val="0"/>
    </font>
    <font>
      <b/>
      <i/>
      <sz val="14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黑体"/>
      <family val="3"/>
    </font>
    <font>
      <sz val="16"/>
      <color indexed="8"/>
      <name val="方正姚体"/>
      <family val="0"/>
    </font>
    <font>
      <sz val="14"/>
      <color indexed="8"/>
      <name val="方正姚体"/>
      <family val="0"/>
    </font>
    <font>
      <sz val="12"/>
      <color indexed="8"/>
      <name val="方正姚体"/>
      <family val="0"/>
    </font>
    <font>
      <sz val="12"/>
      <color indexed="8"/>
      <name val="黑体"/>
      <family val="3"/>
    </font>
    <font>
      <b/>
      <i/>
      <sz val="12"/>
      <color indexed="17"/>
      <name val="Times New Roman"/>
      <family val="1"/>
    </font>
    <font>
      <sz val="10"/>
      <color indexed="8"/>
      <name val="Franklin Gothic Medium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宋体"/>
      <family val="0"/>
    </font>
    <font>
      <sz val="13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indexed="53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方正姚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b/>
      <sz val="14"/>
      <color indexed="8"/>
      <name val="方正姚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21" borderId="5" applyNumberFormat="0" applyAlignment="0" applyProtection="0"/>
    <xf numFmtId="0" fontId="73" fillId="22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21" borderId="8" applyNumberFormat="0" applyAlignment="0" applyProtection="0"/>
    <xf numFmtId="0" fontId="79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32">
    <xf numFmtId="0" fontId="0" fillId="0" borderId="0" xfId="0" applyFont="1" applyAlignment="1">
      <alignment vertical="center"/>
    </xf>
    <xf numFmtId="0" fontId="0" fillId="32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17" fillId="33" borderId="11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left"/>
      <protection hidden="1"/>
    </xf>
    <xf numFmtId="0" fontId="17" fillId="33" borderId="12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20" fillId="33" borderId="14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left"/>
      <protection hidden="1"/>
    </xf>
    <xf numFmtId="0" fontId="17" fillId="33" borderId="15" xfId="0" applyFont="1" applyFill="1" applyBorder="1" applyAlignment="1" applyProtection="1">
      <alignment/>
      <protection hidden="1"/>
    </xf>
    <xf numFmtId="0" fontId="0" fillId="32" borderId="0" xfId="0" applyFill="1" applyAlignment="1" applyProtection="1">
      <alignment horizontal="center"/>
      <protection hidden="1"/>
    </xf>
    <xf numFmtId="0" fontId="7" fillId="32" borderId="0" xfId="0" applyFont="1" applyFill="1" applyAlignment="1" applyProtection="1">
      <alignment horizontal="left"/>
      <protection hidden="1"/>
    </xf>
    <xf numFmtId="0" fontId="21" fillId="32" borderId="0" xfId="0" applyFont="1" applyFill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0" fontId="23" fillId="4" borderId="0" xfId="0" applyFont="1" applyFill="1" applyBorder="1" applyAlignment="1" applyProtection="1">
      <alignment horizontal="center"/>
      <protection hidden="1"/>
    </xf>
    <xf numFmtId="0" fontId="24" fillId="34" borderId="0" xfId="0" applyFont="1" applyFill="1" applyAlignment="1" applyProtection="1">
      <alignment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8" fillId="35" borderId="0" xfId="0" applyFont="1" applyFill="1" applyBorder="1" applyAlignment="1" applyProtection="1">
      <alignment horizontal="left"/>
      <protection hidden="1"/>
    </xf>
    <xf numFmtId="0" fontId="20" fillId="35" borderId="0" xfId="0" applyFont="1" applyFill="1" applyBorder="1" applyAlignment="1" applyProtection="1">
      <alignment horizontal="center"/>
      <protection hidden="1"/>
    </xf>
    <xf numFmtId="0" fontId="18" fillId="36" borderId="10" xfId="0" applyFont="1" applyFill="1" applyBorder="1" applyAlignment="1" applyProtection="1">
      <alignment/>
      <protection hidden="1"/>
    </xf>
    <xf numFmtId="0" fontId="26" fillId="36" borderId="11" xfId="0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26" fillId="36" borderId="11" xfId="0" applyFont="1" applyFill="1" applyBorder="1" applyAlignment="1" applyProtection="1">
      <alignment horizontal="right"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6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/>
      <protection hidden="1"/>
    </xf>
    <xf numFmtId="0" fontId="11" fillId="36" borderId="16" xfId="0" applyFont="1" applyFill="1" applyBorder="1" applyAlignment="1" applyProtection="1">
      <alignment/>
      <protection hidden="1"/>
    </xf>
    <xf numFmtId="0" fontId="11" fillId="36" borderId="0" xfId="0" applyFont="1" applyFill="1" applyBorder="1" applyAlignment="1" applyProtection="1">
      <alignment/>
      <protection hidden="1"/>
    </xf>
    <xf numFmtId="0" fontId="0" fillId="36" borderId="17" xfId="0" applyFont="1" applyFill="1" applyBorder="1" applyAlignment="1" applyProtection="1">
      <alignment/>
      <protection hidden="1"/>
    </xf>
    <xf numFmtId="0" fontId="1" fillId="36" borderId="13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26" fillId="32" borderId="0" xfId="0" applyFont="1" applyFill="1" applyBorder="1" applyAlignment="1" applyProtection="1">
      <alignment/>
      <protection hidden="1"/>
    </xf>
    <xf numFmtId="184" fontId="12" fillId="32" borderId="0" xfId="0" applyNumberFormat="1" applyFont="1" applyFill="1" applyBorder="1" applyAlignment="1" applyProtection="1">
      <alignment horizontal="right"/>
      <protection hidden="1"/>
    </xf>
    <xf numFmtId="0" fontId="7" fillId="32" borderId="0" xfId="0" applyFont="1" applyFill="1" applyBorder="1" applyAlignment="1" applyProtection="1">
      <alignment horizontal="left"/>
      <protection hidden="1"/>
    </xf>
    <xf numFmtId="0" fontId="18" fillId="4" borderId="18" xfId="0" applyFont="1" applyFill="1" applyBorder="1" applyAlignment="1" applyProtection="1">
      <alignment/>
      <protection hidden="1"/>
    </xf>
    <xf numFmtId="0" fontId="15" fillId="32" borderId="10" xfId="0" applyFont="1" applyFill="1" applyBorder="1" applyAlignment="1" applyProtection="1">
      <alignment/>
      <protection hidden="1"/>
    </xf>
    <xf numFmtId="0" fontId="26" fillId="32" borderId="11" xfId="0" applyFont="1" applyFill="1" applyBorder="1" applyAlignment="1" applyProtection="1">
      <alignment/>
      <protection hidden="1"/>
    </xf>
    <xf numFmtId="0" fontId="27" fillId="32" borderId="11" xfId="0" applyFont="1" applyFill="1" applyBorder="1" applyAlignment="1" applyProtection="1">
      <alignment horizontal="right"/>
      <protection hidden="1"/>
    </xf>
    <xf numFmtId="0" fontId="7" fillId="32" borderId="12" xfId="0" applyFont="1" applyFill="1" applyBorder="1" applyAlignment="1" applyProtection="1">
      <alignment horizontal="left"/>
      <protection hidden="1"/>
    </xf>
    <xf numFmtId="0" fontId="0" fillId="32" borderId="0" xfId="0" applyFill="1" applyBorder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32" borderId="0" xfId="0" applyFill="1" applyAlignment="1">
      <alignment/>
    </xf>
    <xf numFmtId="0" fontId="23" fillId="4" borderId="11" xfId="0" applyFont="1" applyFill="1" applyBorder="1" applyAlignment="1" applyProtection="1">
      <alignment horizontal="center"/>
      <protection hidden="1"/>
    </xf>
    <xf numFmtId="0" fontId="19" fillId="4" borderId="12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 horizontal="left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24" fillId="4" borderId="17" xfId="0" applyFont="1" applyFill="1" applyBorder="1" applyAlignment="1" applyProtection="1">
      <alignment horizontal="left"/>
      <protection hidden="1"/>
    </xf>
    <xf numFmtId="0" fontId="1" fillId="36" borderId="16" xfId="0" applyFont="1" applyFill="1" applyBorder="1" applyAlignment="1" applyProtection="1">
      <alignment vertical="center"/>
      <protection hidden="1"/>
    </xf>
    <xf numFmtId="0" fontId="18" fillId="36" borderId="16" xfId="0" applyFont="1" applyFill="1" applyBorder="1" applyAlignment="1" applyProtection="1">
      <alignment/>
      <protection hidden="1"/>
    </xf>
    <xf numFmtId="0" fontId="11" fillId="36" borderId="16" xfId="0" applyFont="1" applyFill="1" applyBorder="1" applyAlignment="1" applyProtection="1">
      <alignment horizontal="left"/>
      <protection hidden="1"/>
    </xf>
    <xf numFmtId="0" fontId="11" fillId="36" borderId="0" xfId="0" applyFont="1" applyFill="1" applyBorder="1" applyAlignment="1" applyProtection="1">
      <alignment horizontal="left" wrapText="1"/>
      <protection hidden="1"/>
    </xf>
    <xf numFmtId="0" fontId="11" fillId="36" borderId="17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11" fillId="36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1" fillId="36" borderId="17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26" fillId="37" borderId="0" xfId="0" applyFont="1" applyFill="1" applyBorder="1" applyAlignment="1" applyProtection="1">
      <alignment/>
      <protection hidden="1"/>
    </xf>
    <xf numFmtId="0" fontId="27" fillId="38" borderId="0" xfId="0" applyFont="1" applyFill="1" applyBorder="1" applyAlignment="1" applyProtection="1">
      <alignment horizontal="right"/>
      <protection hidden="1"/>
    </xf>
    <xf numFmtId="0" fontId="7" fillId="37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1" fillId="36" borderId="16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33" fillId="32" borderId="10" xfId="0" applyFont="1" applyFill="1" applyBorder="1" applyAlignment="1" applyProtection="1">
      <alignment horizontal="left"/>
      <protection hidden="1"/>
    </xf>
    <xf numFmtId="0" fontId="0" fillId="32" borderId="11" xfId="0" applyFill="1" applyBorder="1" applyAlignment="1" applyProtection="1">
      <alignment/>
      <protection hidden="1"/>
    </xf>
    <xf numFmtId="0" fontId="26" fillId="4" borderId="19" xfId="0" applyFont="1" applyFill="1" applyBorder="1" applyAlignment="1" applyProtection="1">
      <alignment/>
      <protection hidden="1"/>
    </xf>
    <xf numFmtId="0" fontId="9" fillId="4" borderId="19" xfId="0" applyFont="1" applyFill="1" applyBorder="1" applyAlignment="1" applyProtection="1">
      <alignment horizontal="right" vertical="center"/>
      <protection hidden="1" locked="0"/>
    </xf>
    <xf numFmtId="0" fontId="9" fillId="4" borderId="19" xfId="0" applyFont="1" applyFill="1" applyBorder="1" applyAlignment="1" applyProtection="1">
      <alignment horizontal="right" vertical="center"/>
      <protection hidden="1"/>
    </xf>
    <xf numFmtId="184" fontId="9" fillId="4" borderId="19" xfId="0" applyNumberFormat="1" applyFont="1" applyFill="1" applyBorder="1" applyAlignment="1" applyProtection="1">
      <alignment horizontal="right" vertical="center"/>
      <protection hidden="1" locked="0"/>
    </xf>
    <xf numFmtId="185" fontId="9" fillId="4" borderId="19" xfId="0" applyNumberFormat="1" applyFont="1" applyFill="1" applyBorder="1" applyAlignment="1" applyProtection="1">
      <alignment horizontal="right" vertical="center"/>
      <protection hidden="1"/>
    </xf>
    <xf numFmtId="187" fontId="9" fillId="4" borderId="19" xfId="0" applyNumberFormat="1" applyFont="1" applyFill="1" applyBorder="1" applyAlignment="1" applyProtection="1">
      <alignment horizontal="right" vertical="center"/>
      <protection hidden="1" locked="0"/>
    </xf>
    <xf numFmtId="186" fontId="9" fillId="4" borderId="19" xfId="0" applyNumberFormat="1" applyFont="1" applyFill="1" applyBorder="1" applyAlignment="1" applyProtection="1">
      <alignment horizontal="right" vertical="center"/>
      <protection hidden="1" locked="0"/>
    </xf>
    <xf numFmtId="184" fontId="9" fillId="4" borderId="19" xfId="0" applyNumberFormat="1" applyFont="1" applyFill="1" applyBorder="1" applyAlignment="1" applyProtection="1">
      <alignment horizontal="right" vertical="center"/>
      <protection hidden="1"/>
    </xf>
    <xf numFmtId="0" fontId="0" fillId="4" borderId="20" xfId="0" applyFont="1" applyFill="1" applyBorder="1" applyAlignment="1" applyProtection="1">
      <alignment horizontal="left" vertical="center"/>
      <protection hidden="1"/>
    </xf>
    <xf numFmtId="0" fontId="0" fillId="4" borderId="21" xfId="0" applyFont="1" applyFill="1" applyBorder="1" applyAlignment="1" applyProtection="1">
      <alignment/>
      <protection hidden="1"/>
    </xf>
    <xf numFmtId="0" fontId="26" fillId="4" borderId="20" xfId="0" applyFont="1" applyFill="1" applyBorder="1" applyAlignment="1" applyProtection="1">
      <alignment/>
      <protection hidden="1"/>
    </xf>
    <xf numFmtId="0" fontId="9" fillId="4" borderId="20" xfId="0" applyFont="1" applyFill="1" applyBorder="1" applyAlignment="1" applyProtection="1">
      <alignment horizontal="right" vertical="center"/>
      <protection hidden="1" locked="0"/>
    </xf>
    <xf numFmtId="0" fontId="9" fillId="4" borderId="20" xfId="0" applyFont="1" applyFill="1" applyBorder="1" applyAlignment="1" applyProtection="1">
      <alignment horizontal="right" vertical="center"/>
      <protection hidden="1"/>
    </xf>
    <xf numFmtId="0" fontId="7" fillId="4" borderId="22" xfId="0" applyFont="1" applyFill="1" applyBorder="1" applyAlignment="1" applyProtection="1">
      <alignment horizontal="left"/>
      <protection hidden="1"/>
    </xf>
    <xf numFmtId="0" fontId="0" fillId="4" borderId="23" xfId="0" applyFont="1" applyFill="1" applyBorder="1" applyAlignment="1" applyProtection="1">
      <alignment/>
      <protection hidden="1"/>
    </xf>
    <xf numFmtId="0" fontId="7" fillId="4" borderId="24" xfId="0" applyFont="1" applyFill="1" applyBorder="1" applyAlignment="1" applyProtection="1">
      <alignment horizontal="left"/>
      <protection hidden="1"/>
    </xf>
    <xf numFmtId="0" fontId="29" fillId="4" borderId="24" xfId="0" applyFont="1" applyFill="1" applyBorder="1" applyAlignment="1" applyProtection="1">
      <alignment horizontal="left"/>
      <protection hidden="1"/>
    </xf>
    <xf numFmtId="0" fontId="0" fillId="4" borderId="25" xfId="0" applyFont="1" applyFill="1" applyBorder="1" applyAlignment="1" applyProtection="1">
      <alignment/>
      <protection hidden="1"/>
    </xf>
    <xf numFmtId="0" fontId="26" fillId="4" borderId="18" xfId="0" applyFont="1" applyFill="1" applyBorder="1" applyAlignment="1" applyProtection="1">
      <alignment/>
      <protection hidden="1"/>
    </xf>
    <xf numFmtId="184" fontId="9" fillId="4" borderId="18" xfId="0" applyNumberFormat="1" applyFont="1" applyFill="1" applyBorder="1" applyAlignment="1" applyProtection="1">
      <alignment horizontal="right" vertical="center"/>
      <protection hidden="1" locked="0"/>
    </xf>
    <xf numFmtId="184" fontId="9" fillId="4" borderId="18" xfId="0" applyNumberFormat="1" applyFont="1" applyFill="1" applyBorder="1" applyAlignment="1" applyProtection="1">
      <alignment horizontal="right" vertical="center"/>
      <protection hidden="1"/>
    </xf>
    <xf numFmtId="0" fontId="7" fillId="4" borderId="26" xfId="0" applyFont="1" applyFill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/>
      <protection hidden="1"/>
    </xf>
    <xf numFmtId="0" fontId="21" fillId="32" borderId="11" xfId="0" applyFont="1" applyFill="1" applyBorder="1" applyAlignment="1" applyProtection="1">
      <alignment horizontal="right"/>
      <protection hidden="1"/>
    </xf>
    <xf numFmtId="0" fontId="34" fillId="0" borderId="11" xfId="0" applyFont="1" applyBorder="1" applyAlignment="1" applyProtection="1">
      <alignment horizontal="right" vertical="center"/>
      <protection hidden="1"/>
    </xf>
    <xf numFmtId="0" fontId="21" fillId="32" borderId="12" xfId="0" applyFont="1" applyFill="1" applyBorder="1" applyAlignment="1" applyProtection="1">
      <alignment horizontal="right"/>
      <protection hidden="1"/>
    </xf>
    <xf numFmtId="185" fontId="9" fillId="4" borderId="19" xfId="0" applyNumberFormat="1" applyFont="1" applyFill="1" applyBorder="1" applyAlignment="1" applyProtection="1">
      <alignment horizontal="right" vertical="center"/>
      <protection hidden="1" locked="0"/>
    </xf>
    <xf numFmtId="0" fontId="26" fillId="35" borderId="19" xfId="0" applyFont="1" applyFill="1" applyBorder="1" applyAlignment="1" applyProtection="1">
      <alignment/>
      <protection hidden="1"/>
    </xf>
    <xf numFmtId="186" fontId="12" fillId="35" borderId="19" xfId="0" applyNumberFormat="1" applyFont="1" applyFill="1" applyBorder="1" applyAlignment="1" applyProtection="1">
      <alignment horizontal="right"/>
      <protection hidden="1"/>
    </xf>
    <xf numFmtId="184" fontId="12" fillId="35" borderId="19" xfId="0" applyNumberFormat="1" applyFont="1" applyFill="1" applyBorder="1" applyAlignment="1" applyProtection="1">
      <alignment horizontal="right"/>
      <protection hidden="1"/>
    </xf>
    <xf numFmtId="185" fontId="12" fillId="35" borderId="19" xfId="0" applyNumberFormat="1" applyFont="1" applyFill="1" applyBorder="1" applyAlignment="1" applyProtection="1">
      <alignment horizontal="right"/>
      <protection hidden="1"/>
    </xf>
    <xf numFmtId="185" fontId="9" fillId="4" borderId="20" xfId="0" applyNumberFormat="1" applyFont="1" applyFill="1" applyBorder="1" applyAlignment="1" applyProtection="1">
      <alignment horizontal="right" vertical="center"/>
      <protection hidden="1" locked="0"/>
    </xf>
    <xf numFmtId="185" fontId="9" fillId="4" borderId="20" xfId="0" applyNumberFormat="1" applyFont="1" applyFill="1" applyBorder="1" applyAlignment="1" applyProtection="1">
      <alignment horizontal="right" vertical="center"/>
      <protection hidden="1"/>
    </xf>
    <xf numFmtId="0" fontId="13" fillId="4" borderId="22" xfId="0" applyFont="1" applyFill="1" applyBorder="1" applyAlignment="1" applyProtection="1">
      <alignment horizontal="left"/>
      <protection hidden="1"/>
    </xf>
    <xf numFmtId="0" fontId="13" fillId="4" borderId="24" xfId="0" applyFont="1" applyFill="1" applyBorder="1" applyAlignment="1" applyProtection="1">
      <alignment horizontal="left"/>
      <protection hidden="1"/>
    </xf>
    <xf numFmtId="0" fontId="0" fillId="35" borderId="23" xfId="0" applyFont="1" applyFill="1" applyBorder="1" applyAlignment="1" applyProtection="1">
      <alignment/>
      <protection hidden="1"/>
    </xf>
    <xf numFmtId="0" fontId="7" fillId="35" borderId="24" xfId="0" applyFont="1" applyFill="1" applyBorder="1" applyAlignment="1" applyProtection="1">
      <alignment horizontal="left"/>
      <protection hidden="1"/>
    </xf>
    <xf numFmtId="0" fontId="0" fillId="35" borderId="25" xfId="0" applyFont="1" applyFill="1" applyBorder="1" applyAlignment="1" applyProtection="1">
      <alignment/>
      <protection hidden="1"/>
    </xf>
    <xf numFmtId="0" fontId="26" fillId="35" borderId="18" xfId="0" applyFont="1" applyFill="1" applyBorder="1" applyAlignment="1" applyProtection="1">
      <alignment/>
      <protection hidden="1"/>
    </xf>
    <xf numFmtId="185" fontId="12" fillId="35" borderId="18" xfId="0" applyNumberFormat="1" applyFont="1" applyFill="1" applyBorder="1" applyAlignment="1" applyProtection="1">
      <alignment horizontal="right"/>
      <protection hidden="1"/>
    </xf>
    <xf numFmtId="184" fontId="12" fillId="35" borderId="18" xfId="0" applyNumberFormat="1" applyFont="1" applyFill="1" applyBorder="1" applyAlignment="1" applyProtection="1">
      <alignment horizontal="right"/>
      <protection hidden="1"/>
    </xf>
    <xf numFmtId="0" fontId="7" fillId="35" borderId="26" xfId="0" applyFont="1" applyFill="1" applyBorder="1" applyAlignment="1" applyProtection="1">
      <alignment horizontal="left"/>
      <protection hidden="1"/>
    </xf>
    <xf numFmtId="187" fontId="12" fillId="35" borderId="19" xfId="0" applyNumberFormat="1" applyFont="1" applyFill="1" applyBorder="1" applyAlignment="1" applyProtection="1">
      <alignment horizontal="right"/>
      <protection hidden="1"/>
    </xf>
    <xf numFmtId="0" fontId="26" fillId="35" borderId="20" xfId="0" applyFont="1" applyFill="1" applyBorder="1" applyAlignment="1" applyProtection="1">
      <alignment/>
      <protection hidden="1"/>
    </xf>
    <xf numFmtId="185" fontId="12" fillId="35" borderId="20" xfId="0" applyNumberFormat="1" applyFont="1" applyFill="1" applyBorder="1" applyAlignment="1" applyProtection="1">
      <alignment horizontal="right"/>
      <protection hidden="1"/>
    </xf>
    <xf numFmtId="0" fontId="7" fillId="35" borderId="22" xfId="0" applyFont="1" applyFill="1" applyBorder="1" applyAlignment="1" applyProtection="1">
      <alignment horizontal="left"/>
      <protection hidden="1"/>
    </xf>
    <xf numFmtId="0" fontId="29" fillId="35" borderId="24" xfId="0" applyFont="1" applyFill="1" applyBorder="1" applyAlignment="1" applyProtection="1">
      <alignment horizontal="left"/>
      <protection hidden="1"/>
    </xf>
    <xf numFmtId="0" fontId="0" fillId="35" borderId="23" xfId="0" applyFont="1" applyFill="1" applyBorder="1" applyAlignment="1" applyProtection="1">
      <alignment horizontal="left"/>
      <protection hidden="1"/>
    </xf>
    <xf numFmtId="185" fontId="28" fillId="35" borderId="20" xfId="0" applyNumberFormat="1" applyFont="1" applyFill="1" applyBorder="1" applyAlignment="1" applyProtection="1">
      <alignment horizontal="right"/>
      <protection hidden="1"/>
    </xf>
    <xf numFmtId="184" fontId="12" fillId="35" borderId="20" xfId="0" applyNumberFormat="1" applyFont="1" applyFill="1" applyBorder="1" applyAlignment="1" applyProtection="1">
      <alignment horizontal="right"/>
      <protection hidden="1"/>
    </xf>
    <xf numFmtId="185" fontId="28" fillId="35" borderId="18" xfId="0" applyNumberFormat="1" applyFont="1" applyFill="1" applyBorder="1" applyAlignment="1" applyProtection="1">
      <alignment horizontal="right"/>
      <protection hidden="1"/>
    </xf>
    <xf numFmtId="0" fontId="18" fillId="0" borderId="10" xfId="0" applyFont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4" borderId="19" xfId="0" applyFont="1" applyFill="1" applyBorder="1" applyAlignment="1" applyProtection="1">
      <alignment horizontal="left" vertical="center"/>
      <protection hidden="1"/>
    </xf>
    <xf numFmtId="0" fontId="35" fillId="4" borderId="19" xfId="0" applyFont="1" applyFill="1" applyBorder="1" applyAlignment="1" applyProtection="1">
      <alignment horizontal="left"/>
      <protection hidden="1"/>
    </xf>
    <xf numFmtId="0" fontId="26" fillId="35" borderId="19" xfId="0" applyFont="1" applyFill="1" applyBorder="1" applyAlignment="1" applyProtection="1">
      <alignment horizontal="left"/>
      <protection hidden="1"/>
    </xf>
    <xf numFmtId="0" fontId="0" fillId="35" borderId="19" xfId="0" applyFont="1" applyFill="1" applyBorder="1" applyAlignment="1" applyProtection="1">
      <alignment horizontal="left" vertical="center"/>
      <protection hidden="1"/>
    </xf>
    <xf numFmtId="185" fontId="26" fillId="35" borderId="19" xfId="0" applyNumberFormat="1" applyFont="1" applyFill="1" applyBorder="1" applyAlignment="1" applyProtection="1">
      <alignment horizontal="right"/>
      <protection hidden="1"/>
    </xf>
    <xf numFmtId="184" fontId="36" fillId="35" borderId="19" xfId="0" applyNumberFormat="1" applyFont="1" applyFill="1" applyBorder="1" applyAlignment="1" applyProtection="1">
      <alignment horizontal="center" vertical="center"/>
      <protection hidden="1"/>
    </xf>
    <xf numFmtId="185" fontId="36" fillId="35" borderId="19" xfId="0" applyNumberFormat="1" applyFont="1" applyFill="1" applyBorder="1" applyAlignment="1" applyProtection="1">
      <alignment horizontal="right" vertical="center"/>
      <protection hidden="1"/>
    </xf>
    <xf numFmtId="0" fontId="35" fillId="4" borderId="22" xfId="0" applyFont="1" applyFill="1" applyBorder="1" applyAlignment="1" applyProtection="1">
      <alignment horizontal="left"/>
      <protection hidden="1"/>
    </xf>
    <xf numFmtId="0" fontId="35" fillId="4" borderId="24" xfId="0" applyFont="1" applyFill="1" applyBorder="1" applyAlignment="1" applyProtection="1">
      <alignment horizontal="left"/>
      <protection hidden="1"/>
    </xf>
    <xf numFmtId="0" fontId="1" fillId="35" borderId="23" xfId="0" applyFont="1" applyFill="1" applyBorder="1" applyAlignment="1" applyProtection="1">
      <alignment horizontal="left"/>
      <protection hidden="1"/>
    </xf>
    <xf numFmtId="0" fontId="37" fillId="35" borderId="24" xfId="0" applyFont="1" applyFill="1" applyBorder="1" applyAlignment="1" applyProtection="1">
      <alignment horizontal="left"/>
      <protection hidden="1"/>
    </xf>
    <xf numFmtId="188" fontId="9" fillId="4" borderId="23" xfId="0" applyNumberFormat="1" applyFont="1" applyFill="1" applyBorder="1" applyAlignment="1" applyProtection="1">
      <alignment horizontal="right" vertical="center"/>
      <protection hidden="1" locked="0"/>
    </xf>
    <xf numFmtId="0" fontId="35" fillId="35" borderId="24" xfId="0" applyFont="1" applyFill="1" applyBorder="1" applyAlignment="1" applyProtection="1">
      <alignment horizontal="left"/>
      <protection hidden="1"/>
    </xf>
    <xf numFmtId="0" fontId="0" fillId="4" borderId="18" xfId="0" applyFont="1" applyFill="1" applyBorder="1" applyAlignment="1" applyProtection="1">
      <alignment/>
      <protection hidden="1"/>
    </xf>
    <xf numFmtId="185" fontId="9" fillId="4" borderId="18" xfId="0" applyNumberFormat="1" applyFont="1" applyFill="1" applyBorder="1" applyAlignment="1" applyProtection="1">
      <alignment horizontal="right" vertical="center"/>
      <protection hidden="1" locked="0"/>
    </xf>
    <xf numFmtId="0" fontId="35" fillId="4" borderId="26" xfId="0" applyFont="1" applyFill="1" applyBorder="1" applyAlignment="1" applyProtection="1">
      <alignment horizontal="left"/>
      <protection hidden="1"/>
    </xf>
    <xf numFmtId="0" fontId="16" fillId="4" borderId="20" xfId="0" applyFont="1" applyFill="1" applyBorder="1" applyAlignment="1" applyProtection="1">
      <alignment/>
      <protection hidden="1"/>
    </xf>
    <xf numFmtId="184" fontId="9" fillId="4" borderId="20" xfId="0" applyNumberFormat="1" applyFont="1" applyFill="1" applyBorder="1" applyAlignment="1" applyProtection="1">
      <alignment horizontal="right" vertical="center"/>
      <protection hidden="1" locked="0"/>
    </xf>
    <xf numFmtId="0" fontId="0" fillId="4" borderId="21" xfId="0" applyFill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184" fontId="0" fillId="0" borderId="24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84" fontId="0" fillId="0" borderId="26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189" fontId="0" fillId="0" borderId="19" xfId="0" applyNumberFormat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/>
      <protection hidden="1"/>
    </xf>
    <xf numFmtId="189" fontId="0" fillId="0" borderId="19" xfId="0" applyNumberFormat="1" applyFill="1" applyBorder="1" applyAlignment="1" applyProtection="1">
      <alignment horizontal="center" vertical="center"/>
      <protection hidden="1"/>
    </xf>
    <xf numFmtId="0" fontId="39" fillId="36" borderId="16" xfId="0" applyFont="1" applyFill="1" applyBorder="1" applyAlignment="1" applyProtection="1">
      <alignment/>
      <protection hidden="1"/>
    </xf>
    <xf numFmtId="0" fontId="39" fillId="36" borderId="0" xfId="0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33" fillId="0" borderId="10" xfId="0" applyFont="1" applyFill="1" applyBorder="1" applyAlignment="1" applyProtection="1">
      <alignment/>
      <protection hidden="1"/>
    </xf>
    <xf numFmtId="0" fontId="11" fillId="36" borderId="16" xfId="0" applyFont="1" applyFill="1" applyBorder="1" applyAlignment="1" applyProtection="1">
      <alignment horizontal="left" vertical="top"/>
      <protection hidden="1"/>
    </xf>
    <xf numFmtId="0" fontId="11" fillId="36" borderId="0" xfId="0" applyFont="1" applyFill="1" applyBorder="1" applyAlignment="1" applyProtection="1">
      <alignment horizontal="left" vertical="top"/>
      <protection hidden="1"/>
    </xf>
    <xf numFmtId="0" fontId="11" fillId="36" borderId="17" xfId="0" applyFont="1" applyFill="1" applyBorder="1" applyAlignment="1" applyProtection="1">
      <alignment horizontal="left" vertical="top"/>
      <protection hidden="1"/>
    </xf>
    <xf numFmtId="0" fontId="19" fillId="36" borderId="16" xfId="0" applyFont="1" applyFill="1" applyBorder="1" applyAlignment="1" applyProtection="1">
      <alignment horizontal="left" vertical="top"/>
      <protection hidden="1"/>
    </xf>
    <xf numFmtId="0" fontId="40" fillId="36" borderId="0" xfId="0" applyFont="1" applyFill="1" applyBorder="1" applyAlignment="1" applyProtection="1">
      <alignment horizontal="left" vertical="top"/>
      <protection hidden="1"/>
    </xf>
    <xf numFmtId="0" fontId="40" fillId="36" borderId="17" xfId="0" applyFont="1" applyFill="1" applyBorder="1" applyAlignment="1" applyProtection="1">
      <alignment horizontal="left" vertical="top"/>
      <protection hidden="1"/>
    </xf>
    <xf numFmtId="0" fontId="3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7" fillId="32" borderId="0" xfId="0" applyFont="1" applyFill="1" applyAlignment="1" applyProtection="1">
      <alignment horizontal="center"/>
      <protection hidden="1"/>
    </xf>
    <xf numFmtId="0" fontId="11" fillId="32" borderId="11" xfId="0" applyFont="1" applyFill="1" applyBorder="1" applyAlignment="1" applyProtection="1">
      <alignment horizontal="center"/>
      <protection hidden="1"/>
    </xf>
    <xf numFmtId="0" fontId="9" fillId="4" borderId="19" xfId="0" applyFont="1" applyFill="1" applyBorder="1" applyAlignment="1" applyProtection="1">
      <alignment horizontal="right" vertical="center"/>
      <protection locked="0"/>
    </xf>
    <xf numFmtId="184" fontId="9" fillId="4" borderId="19" xfId="0" applyNumberFormat="1" applyFont="1" applyFill="1" applyBorder="1" applyAlignment="1" applyProtection="1">
      <alignment horizontal="right" vertical="center"/>
      <protection locked="0"/>
    </xf>
    <xf numFmtId="187" fontId="6" fillId="35" borderId="19" xfId="0" applyNumberFormat="1" applyFont="1" applyFill="1" applyBorder="1" applyAlignment="1" applyProtection="1">
      <alignment horizontal="right" vertical="center"/>
      <protection hidden="1"/>
    </xf>
    <xf numFmtId="185" fontId="6" fillId="35" borderId="19" xfId="0" applyNumberFormat="1" applyFont="1" applyFill="1" applyBorder="1" applyAlignment="1" applyProtection="1">
      <alignment horizontal="right" vertical="center"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9" fillId="4" borderId="20" xfId="0" applyFont="1" applyFill="1" applyBorder="1" applyAlignment="1" applyProtection="1">
      <alignment horizontal="right" vertical="center"/>
      <protection locked="0"/>
    </xf>
    <xf numFmtId="0" fontId="1" fillId="4" borderId="23" xfId="0" applyFont="1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13" fillId="35" borderId="24" xfId="0" applyFont="1" applyFill="1" applyBorder="1" applyAlignment="1" applyProtection="1">
      <alignment horizontal="left"/>
      <protection hidden="1"/>
    </xf>
    <xf numFmtId="0" fontId="7" fillId="35" borderId="24" xfId="0" applyFont="1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185" fontId="6" fillId="35" borderId="18" xfId="0" applyNumberFormat="1" applyFont="1" applyFill="1" applyBorder="1" applyAlignment="1" applyProtection="1">
      <alignment horizontal="right" vertical="center"/>
      <protection hidden="1"/>
    </xf>
    <xf numFmtId="184" fontId="9" fillId="4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42" fillId="4" borderId="24" xfId="0" applyFont="1" applyFill="1" applyBorder="1" applyAlignment="1" applyProtection="1">
      <alignment horizontal="left"/>
      <protection hidden="1"/>
    </xf>
    <xf numFmtId="0" fontId="20" fillId="35" borderId="14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left"/>
      <protection hidden="1"/>
    </xf>
    <xf numFmtId="0" fontId="31" fillId="33" borderId="16" xfId="0" applyFont="1" applyFill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horizontal="left"/>
      <protection hidden="1"/>
    </xf>
    <xf numFmtId="0" fontId="7" fillId="33" borderId="32" xfId="0" applyFont="1" applyFill="1" applyBorder="1" applyAlignment="1" applyProtection="1">
      <alignment horizontal="left"/>
      <protection hidden="1"/>
    </xf>
    <xf numFmtId="0" fontId="7" fillId="33" borderId="33" xfId="0" applyFont="1" applyFill="1" applyBorder="1" applyAlignment="1" applyProtection="1">
      <alignment horizontal="left"/>
      <protection hidden="1"/>
    </xf>
    <xf numFmtId="0" fontId="19" fillId="4" borderId="10" xfId="0" applyFont="1" applyFill="1" applyBorder="1" applyAlignment="1" applyProtection="1">
      <alignment horizontal="right"/>
      <protection hidden="1"/>
    </xf>
    <xf numFmtId="0" fontId="24" fillId="4" borderId="16" xfId="0" applyFont="1" applyFill="1" applyBorder="1" applyAlignment="1" applyProtection="1">
      <alignment horizontal="right"/>
      <protection hidden="1"/>
    </xf>
    <xf numFmtId="0" fontId="0" fillId="35" borderId="13" xfId="0" applyFont="1" applyFill="1" applyBorder="1" applyAlignment="1" applyProtection="1">
      <alignment horizontal="right"/>
      <protection hidden="1"/>
    </xf>
    <xf numFmtId="0" fontId="0" fillId="36" borderId="16" xfId="0" applyFill="1" applyBorder="1" applyAlignment="1" applyProtection="1">
      <alignment horizontal="left"/>
      <protection hidden="1"/>
    </xf>
    <xf numFmtId="9" fontId="17" fillId="36" borderId="17" xfId="0" applyNumberFormat="1" applyFont="1" applyFill="1" applyBorder="1" applyAlignment="1" applyProtection="1">
      <alignment/>
      <protection hidden="1"/>
    </xf>
    <xf numFmtId="0" fontId="17" fillId="36" borderId="10" xfId="0" applyFont="1" applyFill="1" applyBorder="1" applyAlignment="1" applyProtection="1">
      <alignment horizontal="left" vertical="center"/>
      <protection hidden="1"/>
    </xf>
    <xf numFmtId="0" fontId="26" fillId="36" borderId="12" xfId="0" applyFont="1" applyFill="1" applyBorder="1" applyAlignment="1" applyProtection="1">
      <alignment/>
      <protection hidden="1"/>
    </xf>
    <xf numFmtId="0" fontId="0" fillId="36" borderId="34" xfId="0" applyFill="1" applyBorder="1" applyAlignment="1" applyProtection="1">
      <alignment/>
      <protection hidden="1"/>
    </xf>
    <xf numFmtId="0" fontId="0" fillId="36" borderId="35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36" borderId="34" xfId="0" applyFont="1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 wrapText="1"/>
      <protection hidden="1"/>
    </xf>
    <xf numFmtId="0" fontId="0" fillId="35" borderId="21" xfId="0" applyFill="1" applyBorder="1" applyAlignment="1" applyProtection="1">
      <alignment/>
      <protection hidden="1"/>
    </xf>
    <xf numFmtId="0" fontId="29" fillId="4" borderId="22" xfId="0" applyFont="1" applyFill="1" applyBorder="1" applyAlignment="1" applyProtection="1">
      <alignment horizontal="left"/>
      <protection hidden="1"/>
    </xf>
    <xf numFmtId="186" fontId="9" fillId="4" borderId="20" xfId="0" applyNumberFormat="1" applyFont="1" applyFill="1" applyBorder="1" applyAlignment="1" applyProtection="1">
      <alignment horizontal="right" vertical="center"/>
      <protection hidden="1" locked="0"/>
    </xf>
    <xf numFmtId="0" fontId="26" fillId="36" borderId="14" xfId="0" applyFont="1" applyFill="1" applyBorder="1" applyAlignment="1" applyProtection="1">
      <alignment/>
      <protection hidden="1"/>
    </xf>
    <xf numFmtId="0" fontId="26" fillId="36" borderId="14" xfId="0" applyFont="1" applyFill="1" applyBorder="1" applyAlignment="1" applyProtection="1">
      <alignment horizontal="right"/>
      <protection hidden="1"/>
    </xf>
    <xf numFmtId="0" fontId="7" fillId="35" borderId="24" xfId="0" applyFont="1" applyFill="1" applyBorder="1" applyAlignment="1" applyProtection="1">
      <alignment horizontal="left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1" fillId="34" borderId="0" xfId="0" applyFont="1" applyFill="1" applyAlignment="1" applyProtection="1">
      <alignment horizontal="righ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8" fillId="34" borderId="0" xfId="0" applyFont="1" applyFill="1" applyAlignment="1" applyProtection="1">
      <alignment/>
      <protection hidden="1"/>
    </xf>
    <xf numFmtId="0" fontId="26" fillId="34" borderId="0" xfId="0" applyFont="1" applyFill="1" applyAlignment="1" applyProtection="1">
      <alignment horizontal="right"/>
      <protection hidden="1"/>
    </xf>
    <xf numFmtId="0" fontId="0" fillId="4" borderId="25" xfId="0" applyFill="1" applyBorder="1" applyAlignment="1" applyProtection="1">
      <alignment/>
      <protection hidden="1"/>
    </xf>
    <xf numFmtId="0" fontId="33" fillId="32" borderId="16" xfId="0" applyFont="1" applyFill="1" applyBorder="1" applyAlignment="1" applyProtection="1">
      <alignment horizontal="left"/>
      <protection hidden="1"/>
    </xf>
    <xf numFmtId="0" fontId="7" fillId="32" borderId="17" xfId="0" applyFont="1" applyFill="1" applyBorder="1" applyAlignment="1" applyProtection="1">
      <alignment horizontal="left"/>
      <protection hidden="1"/>
    </xf>
    <xf numFmtId="187" fontId="47" fillId="35" borderId="24" xfId="0" applyNumberFormat="1" applyFont="1" applyFill="1" applyBorder="1" applyAlignment="1" applyProtection="1">
      <alignment horizontal="center"/>
      <protection hidden="1"/>
    </xf>
    <xf numFmtId="0" fontId="47" fillId="35" borderId="23" xfId="0" applyFont="1" applyFill="1" applyBorder="1" applyAlignment="1" applyProtection="1">
      <alignment horizontal="center"/>
      <protection hidden="1"/>
    </xf>
    <xf numFmtId="195" fontId="47" fillId="35" borderId="19" xfId="0" applyNumberFormat="1" applyFont="1" applyFill="1" applyBorder="1" applyAlignment="1" applyProtection="1">
      <alignment horizontal="center"/>
      <protection hidden="1"/>
    </xf>
    <xf numFmtId="184" fontId="47" fillId="35" borderId="19" xfId="0" applyNumberFormat="1" applyFont="1" applyFill="1" applyBorder="1" applyAlignment="1" applyProtection="1">
      <alignment horizontal="center"/>
      <protection hidden="1"/>
    </xf>
    <xf numFmtId="187" fontId="47" fillId="35" borderId="19" xfId="0" applyNumberFormat="1" applyFont="1" applyFill="1" applyBorder="1" applyAlignment="1" applyProtection="1">
      <alignment horizontal="center"/>
      <protection hidden="1"/>
    </xf>
    <xf numFmtId="185" fontId="47" fillId="35" borderId="19" xfId="0" applyNumberFormat="1" applyFont="1" applyFill="1" applyBorder="1" applyAlignment="1" applyProtection="1">
      <alignment horizontal="center"/>
      <protection hidden="1"/>
    </xf>
    <xf numFmtId="0" fontId="47" fillId="35" borderId="25" xfId="0" applyFont="1" applyFill="1" applyBorder="1" applyAlignment="1" applyProtection="1">
      <alignment horizontal="center"/>
      <protection hidden="1"/>
    </xf>
    <xf numFmtId="195" fontId="47" fillId="35" borderId="18" xfId="0" applyNumberFormat="1" applyFont="1" applyFill="1" applyBorder="1" applyAlignment="1" applyProtection="1">
      <alignment horizontal="center"/>
      <protection hidden="1"/>
    </xf>
    <xf numFmtId="184" fontId="47" fillId="35" borderId="18" xfId="0" applyNumberFormat="1" applyFont="1" applyFill="1" applyBorder="1" applyAlignment="1" applyProtection="1">
      <alignment horizontal="center"/>
      <protection hidden="1"/>
    </xf>
    <xf numFmtId="187" fontId="47" fillId="35" borderId="18" xfId="0" applyNumberFormat="1" applyFont="1" applyFill="1" applyBorder="1" applyAlignment="1" applyProtection="1">
      <alignment horizontal="center"/>
      <protection hidden="1"/>
    </xf>
    <xf numFmtId="185" fontId="47" fillId="35" borderId="18" xfId="0" applyNumberFormat="1" applyFont="1" applyFill="1" applyBorder="1" applyAlignment="1" applyProtection="1">
      <alignment horizontal="center"/>
      <protection hidden="1"/>
    </xf>
    <xf numFmtId="187" fontId="47" fillId="35" borderId="26" xfId="0" applyNumberFormat="1" applyFont="1" applyFill="1" applyBorder="1" applyAlignment="1" applyProtection="1">
      <alignment horizontal="center"/>
      <protection hidden="1"/>
    </xf>
    <xf numFmtId="185" fontId="36" fillId="35" borderId="19" xfId="0" applyNumberFormat="1" applyFont="1" applyFill="1" applyBorder="1" applyAlignment="1" applyProtection="1">
      <alignment horizontal="right"/>
      <protection hidden="1"/>
    </xf>
    <xf numFmtId="184" fontId="36" fillId="35" borderId="19" xfId="0" applyNumberFormat="1" applyFont="1" applyFill="1" applyBorder="1" applyAlignment="1" applyProtection="1">
      <alignment horizontal="right"/>
      <protection hidden="1"/>
    </xf>
    <xf numFmtId="188" fontId="12" fillId="35" borderId="19" xfId="0" applyNumberFormat="1" applyFont="1" applyFill="1" applyBorder="1" applyAlignment="1" applyProtection="1">
      <alignment horizontal="right"/>
      <protection hidden="1"/>
    </xf>
    <xf numFmtId="187" fontId="36" fillId="35" borderId="19" xfId="0" applyNumberFormat="1" applyFont="1" applyFill="1" applyBorder="1" applyAlignment="1" applyProtection="1">
      <alignment horizontal="right"/>
      <protection hidden="1"/>
    </xf>
    <xf numFmtId="187" fontId="36" fillId="35" borderId="18" xfId="0" applyNumberFormat="1" applyFont="1" applyFill="1" applyBorder="1" applyAlignment="1" applyProtection="1">
      <alignment horizontal="right"/>
      <protection hidden="1"/>
    </xf>
    <xf numFmtId="0" fontId="13" fillId="35" borderId="26" xfId="0" applyFont="1" applyFill="1" applyBorder="1" applyAlignment="1" applyProtection="1">
      <alignment horizontal="left"/>
      <protection hidden="1"/>
    </xf>
    <xf numFmtId="185" fontId="47" fillId="35" borderId="19" xfId="0" applyNumberFormat="1" applyFont="1" applyFill="1" applyBorder="1" applyAlignment="1" applyProtection="1">
      <alignment/>
      <protection hidden="1"/>
    </xf>
    <xf numFmtId="0" fontId="47" fillId="39" borderId="23" xfId="0" applyFont="1" applyFill="1" applyBorder="1" applyAlignment="1" applyProtection="1">
      <alignment horizontal="center"/>
      <protection hidden="1"/>
    </xf>
    <xf numFmtId="195" fontId="47" fillId="39" borderId="19" xfId="0" applyNumberFormat="1" applyFont="1" applyFill="1" applyBorder="1" applyAlignment="1" applyProtection="1">
      <alignment horizontal="center"/>
      <protection hidden="1"/>
    </xf>
    <xf numFmtId="184" fontId="47" fillId="39" borderId="19" xfId="0" applyNumberFormat="1" applyFont="1" applyFill="1" applyBorder="1" applyAlignment="1" applyProtection="1">
      <alignment horizontal="center"/>
      <protection hidden="1"/>
    </xf>
    <xf numFmtId="187" fontId="47" fillId="39" borderId="19" xfId="0" applyNumberFormat="1" applyFont="1" applyFill="1" applyBorder="1" applyAlignment="1" applyProtection="1">
      <alignment horizontal="center"/>
      <protection hidden="1"/>
    </xf>
    <xf numFmtId="185" fontId="47" fillId="39" borderId="19" xfId="0" applyNumberFormat="1" applyFont="1" applyFill="1" applyBorder="1" applyAlignment="1" applyProtection="1">
      <alignment horizontal="center"/>
      <protection hidden="1"/>
    </xf>
    <xf numFmtId="185" fontId="47" fillId="39" borderId="19" xfId="0" applyNumberFormat="1" applyFont="1" applyFill="1" applyBorder="1" applyAlignment="1" applyProtection="1">
      <alignment/>
      <protection hidden="1"/>
    </xf>
    <xf numFmtId="187" fontId="47" fillId="39" borderId="24" xfId="0" applyNumberFormat="1" applyFont="1" applyFill="1" applyBorder="1" applyAlignment="1" applyProtection="1">
      <alignment horizontal="center"/>
      <protection hidden="1"/>
    </xf>
    <xf numFmtId="185" fontId="47" fillId="35" borderId="18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 horizontal="center"/>
      <protection hidden="1"/>
    </xf>
    <xf numFmtId="186" fontId="9" fillId="4" borderId="20" xfId="0" applyNumberFormat="1" applyFont="1" applyFill="1" applyBorder="1" applyAlignment="1" applyProtection="1">
      <alignment horizontal="center" vertical="center"/>
      <protection hidden="1" locked="0"/>
    </xf>
    <xf numFmtId="184" fontId="9" fillId="4" borderId="20" xfId="0" applyNumberFormat="1" applyFont="1" applyFill="1" applyBorder="1" applyAlignment="1" applyProtection="1">
      <alignment horizontal="center" vertical="center"/>
      <protection hidden="1" locked="0"/>
    </xf>
    <xf numFmtId="187" fontId="9" fillId="4" borderId="20" xfId="0" applyNumberFormat="1" applyFont="1" applyFill="1" applyBorder="1" applyAlignment="1" applyProtection="1">
      <alignment horizontal="center" vertical="center"/>
      <protection hidden="1" locked="0"/>
    </xf>
    <xf numFmtId="186" fontId="9" fillId="4" borderId="21" xfId="0" applyNumberFormat="1" applyFont="1" applyFill="1" applyBorder="1" applyAlignment="1" applyProtection="1">
      <alignment horizontal="center" vertical="center"/>
      <protection hidden="1" locked="0"/>
    </xf>
    <xf numFmtId="186" fontId="9" fillId="4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4" borderId="25" xfId="0" applyFont="1" applyFill="1" applyBorder="1" applyAlignment="1" applyProtection="1">
      <alignment horizontal="center"/>
      <protection hidden="1"/>
    </xf>
    <xf numFmtId="0" fontId="19" fillId="4" borderId="18" xfId="0" applyFont="1" applyFill="1" applyBorder="1" applyAlignment="1" applyProtection="1">
      <alignment horizontal="center"/>
      <protection hidden="1"/>
    </xf>
    <xf numFmtId="0" fontId="19" fillId="4" borderId="26" xfId="0" applyFont="1" applyFill="1" applyBorder="1" applyAlignment="1" applyProtection="1">
      <alignment horizontal="center"/>
      <protection hidden="1"/>
    </xf>
    <xf numFmtId="0" fontId="19" fillId="35" borderId="30" xfId="0" applyFont="1" applyFill="1" applyBorder="1" applyAlignment="1" applyProtection="1">
      <alignment horizontal="center"/>
      <protection hidden="1"/>
    </xf>
    <xf numFmtId="0" fontId="19" fillId="35" borderId="18" xfId="0" applyFont="1" applyFill="1" applyBorder="1" applyAlignment="1" applyProtection="1">
      <alignment horizontal="center"/>
      <protection hidden="1"/>
    </xf>
    <xf numFmtId="0" fontId="19" fillId="35" borderId="26" xfId="0" applyFont="1" applyFill="1" applyBorder="1" applyAlignment="1" applyProtection="1">
      <alignment horizontal="center"/>
      <protection hidden="1"/>
    </xf>
    <xf numFmtId="184" fontId="36" fillId="35" borderId="27" xfId="0" applyNumberFormat="1" applyFont="1" applyFill="1" applyBorder="1" applyAlignment="1" applyProtection="1">
      <alignment horizontal="center"/>
      <protection hidden="1"/>
    </xf>
    <xf numFmtId="187" fontId="36" fillId="35" borderId="19" xfId="0" applyNumberFormat="1" applyFont="1" applyFill="1" applyBorder="1" applyAlignment="1" applyProtection="1">
      <alignment horizontal="center"/>
      <protection hidden="1"/>
    </xf>
    <xf numFmtId="0" fontId="36" fillId="35" borderId="24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0" fillId="38" borderId="13" xfId="0" applyFill="1" applyBorder="1" applyAlignment="1" applyProtection="1">
      <alignment/>
      <protection hidden="1"/>
    </xf>
    <xf numFmtId="0" fontId="0" fillId="38" borderId="14" xfId="0" applyFill="1" applyBorder="1" applyAlignment="1" applyProtection="1">
      <alignment/>
      <protection hidden="1"/>
    </xf>
    <xf numFmtId="0" fontId="0" fillId="38" borderId="15" xfId="0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89" fontId="0" fillId="0" borderId="24" xfId="0" applyNumberFormat="1" applyBorder="1" applyAlignment="1" applyProtection="1">
      <alignment horizontal="center" vertical="center"/>
      <protection hidden="1"/>
    </xf>
    <xf numFmtId="189" fontId="0" fillId="0" borderId="24" xfId="0" applyNumberFormat="1" applyFill="1" applyBorder="1" applyAlignment="1" applyProtection="1">
      <alignment horizontal="center" vertical="center"/>
      <protection hidden="1"/>
    </xf>
    <xf numFmtId="189" fontId="0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/>
      <protection hidden="1"/>
    </xf>
    <xf numFmtId="189" fontId="0" fillId="0" borderId="18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49" fillId="38" borderId="16" xfId="0" applyFont="1" applyFill="1" applyBorder="1" applyAlignment="1" applyProtection="1">
      <alignment/>
      <protection hidden="1"/>
    </xf>
    <xf numFmtId="0" fontId="49" fillId="38" borderId="0" xfId="0" applyFont="1" applyFill="1" applyBorder="1" applyAlignment="1" applyProtection="1">
      <alignment/>
      <protection hidden="1"/>
    </xf>
    <xf numFmtId="0" fontId="49" fillId="38" borderId="17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1" fillId="36" borderId="16" xfId="0" applyFont="1" applyFill="1" applyBorder="1" applyAlignment="1" applyProtection="1">
      <alignment/>
      <protection hidden="1"/>
    </xf>
    <xf numFmtId="0" fontId="33" fillId="0" borderId="34" xfId="0" applyFont="1" applyFill="1" applyBorder="1" applyAlignment="1" applyProtection="1">
      <alignment horizontal="left"/>
      <protection hidden="1"/>
    </xf>
    <xf numFmtId="0" fontId="33" fillId="0" borderId="36" xfId="0" applyFont="1" applyFill="1" applyBorder="1" applyAlignment="1" applyProtection="1">
      <alignment horizontal="left"/>
      <protection hidden="1"/>
    </xf>
    <xf numFmtId="0" fontId="33" fillId="0" borderId="37" xfId="0" applyFont="1" applyFill="1" applyBorder="1" applyAlignment="1" applyProtection="1">
      <alignment horizontal="left"/>
      <protection hidden="1"/>
    </xf>
    <xf numFmtId="0" fontId="30" fillId="33" borderId="10" xfId="0" applyFont="1" applyFill="1" applyBorder="1" applyAlignment="1" applyProtection="1">
      <alignment horizontal="center" vertical="top"/>
      <protection hidden="1"/>
    </xf>
    <xf numFmtId="0" fontId="30" fillId="33" borderId="11" xfId="0" applyFont="1" applyFill="1" applyBorder="1" applyAlignment="1" applyProtection="1">
      <alignment horizontal="center" vertical="top"/>
      <protection hidden="1"/>
    </xf>
    <xf numFmtId="0" fontId="30" fillId="33" borderId="12" xfId="0" applyFont="1" applyFill="1" applyBorder="1" applyAlignment="1" applyProtection="1">
      <alignment horizontal="center" vertical="top"/>
      <protection hidden="1"/>
    </xf>
    <xf numFmtId="0" fontId="30" fillId="33" borderId="16" xfId="0" applyFont="1" applyFill="1" applyBorder="1" applyAlignment="1" applyProtection="1">
      <alignment horizontal="center" vertical="top"/>
      <protection hidden="1"/>
    </xf>
    <xf numFmtId="0" fontId="30" fillId="33" borderId="0" xfId="0" applyFont="1" applyFill="1" applyBorder="1" applyAlignment="1" applyProtection="1">
      <alignment horizontal="center" vertical="top"/>
      <protection hidden="1"/>
    </xf>
    <xf numFmtId="0" fontId="30" fillId="33" borderId="17" xfId="0" applyFont="1" applyFill="1" applyBorder="1" applyAlignment="1" applyProtection="1">
      <alignment horizontal="center" vertical="top"/>
      <protection hidden="1"/>
    </xf>
    <xf numFmtId="0" fontId="31" fillId="33" borderId="36" xfId="0" applyFont="1" applyFill="1" applyBorder="1" applyAlignment="1" applyProtection="1">
      <alignment horizontal="center"/>
      <protection hidden="1"/>
    </xf>
    <xf numFmtId="0" fontId="31" fillId="33" borderId="37" xfId="0" applyFont="1" applyFill="1" applyBorder="1" applyAlignment="1" applyProtection="1">
      <alignment horizontal="center"/>
      <protection hidden="1"/>
    </xf>
    <xf numFmtId="0" fontId="0" fillId="36" borderId="13" xfId="0" applyFill="1" applyBorder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45" fillId="33" borderId="13" xfId="0" applyFont="1" applyFill="1" applyBorder="1" applyAlignment="1" applyProtection="1">
      <alignment horizontal="left" vertical="top"/>
      <protection hidden="1"/>
    </xf>
    <xf numFmtId="0" fontId="45" fillId="33" borderId="14" xfId="0" applyFont="1" applyFill="1" applyBorder="1" applyAlignment="1" applyProtection="1">
      <alignment horizontal="left" vertical="top"/>
      <protection hidden="1"/>
    </xf>
    <xf numFmtId="0" fontId="45" fillId="33" borderId="15" xfId="0" applyFont="1" applyFill="1" applyBorder="1" applyAlignment="1" applyProtection="1">
      <alignment horizontal="left" vertical="top"/>
      <protection hidden="1"/>
    </xf>
    <xf numFmtId="0" fontId="0" fillId="35" borderId="38" xfId="0" applyFont="1" applyFill="1" applyBorder="1" applyAlignment="1" applyProtection="1">
      <alignment horizontal="left"/>
      <protection hidden="1"/>
    </xf>
    <xf numFmtId="0" fontId="0" fillId="35" borderId="27" xfId="0" applyFont="1" applyFill="1" applyBorder="1" applyAlignment="1" applyProtection="1">
      <alignment horizontal="left"/>
      <protection hidden="1"/>
    </xf>
    <xf numFmtId="0" fontId="0" fillId="35" borderId="39" xfId="0" applyFont="1" applyFill="1" applyBorder="1" applyAlignment="1" applyProtection="1">
      <alignment horizontal="left"/>
      <protection hidden="1"/>
    </xf>
    <xf numFmtId="0" fontId="0" fillId="35" borderId="30" xfId="0" applyFont="1" applyFill="1" applyBorder="1" applyAlignment="1" applyProtection="1">
      <alignment horizontal="left"/>
      <protection hidden="1"/>
    </xf>
    <xf numFmtId="0" fontId="0" fillId="35" borderId="38" xfId="0" applyFill="1" applyBorder="1" applyAlignment="1" applyProtection="1">
      <alignment horizontal="left"/>
      <protection hidden="1"/>
    </xf>
    <xf numFmtId="0" fontId="15" fillId="0" borderId="34" xfId="0" applyFont="1" applyFill="1" applyBorder="1" applyAlignment="1" applyProtection="1">
      <alignment horizontal="left"/>
      <protection hidden="1"/>
    </xf>
    <xf numFmtId="0" fontId="15" fillId="0" borderId="36" xfId="0" applyFont="1" applyFill="1" applyBorder="1" applyAlignment="1" applyProtection="1">
      <alignment horizontal="left"/>
      <protection hidden="1"/>
    </xf>
    <xf numFmtId="0" fontId="15" fillId="0" borderId="37" xfId="0" applyFont="1" applyFill="1" applyBorder="1" applyAlignment="1" applyProtection="1">
      <alignment horizontal="left"/>
      <protection hidden="1"/>
    </xf>
    <xf numFmtId="0" fontId="19" fillId="4" borderId="0" xfId="0" applyFont="1" applyFill="1" applyBorder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horizontal="left"/>
      <protection hidden="1"/>
    </xf>
    <xf numFmtId="0" fontId="41" fillId="4" borderId="0" xfId="0" applyFont="1" applyFill="1" applyBorder="1" applyAlignment="1" applyProtection="1">
      <alignment horizontal="left"/>
      <protection hidden="1"/>
    </xf>
    <xf numFmtId="0" fontId="1" fillId="35" borderId="0" xfId="0" applyFont="1" applyFill="1" applyBorder="1" applyAlignment="1" applyProtection="1">
      <alignment horizontal="left"/>
      <protection hidden="1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4" borderId="21" xfId="0" applyFont="1" applyFill="1" applyBorder="1" applyAlignment="1" applyProtection="1">
      <alignment horizontal="left" vertical="center"/>
      <protection hidden="1"/>
    </xf>
    <xf numFmtId="0" fontId="0" fillId="4" borderId="20" xfId="0" applyFont="1" applyFill="1" applyBorder="1" applyAlignment="1" applyProtection="1">
      <alignment horizontal="left" vertical="center"/>
      <protection hidden="1"/>
    </xf>
    <xf numFmtId="0" fontId="0" fillId="4" borderId="23" xfId="0" applyFont="1" applyFill="1" applyBorder="1" applyAlignment="1" applyProtection="1">
      <alignment horizontal="left" vertical="center"/>
      <protection hidden="1"/>
    </xf>
    <xf numFmtId="0" fontId="0" fillId="4" borderId="19" xfId="0" applyFont="1" applyFill="1" applyBorder="1" applyAlignment="1" applyProtection="1">
      <alignment horizontal="left" vertic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47" fillId="0" borderId="10" xfId="0" applyFont="1" applyBorder="1" applyAlignment="1" applyProtection="1">
      <alignment horizontal="left" wrapText="1"/>
      <protection hidden="1"/>
    </xf>
    <xf numFmtId="0" fontId="47" fillId="0" borderId="11" xfId="0" applyFont="1" applyBorder="1" applyAlignment="1" applyProtection="1">
      <alignment horizontal="left"/>
      <protection hidden="1"/>
    </xf>
    <xf numFmtId="0" fontId="47" fillId="0" borderId="12" xfId="0" applyFont="1" applyBorder="1" applyAlignment="1" applyProtection="1">
      <alignment horizontal="left"/>
      <protection hidden="1"/>
    </xf>
    <xf numFmtId="0" fontId="47" fillId="0" borderId="16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7" fillId="0" borderId="17" xfId="0" applyFont="1" applyBorder="1" applyAlignment="1" applyProtection="1">
      <alignment horizontal="left"/>
      <protection hidden="1"/>
    </xf>
    <xf numFmtId="0" fontId="47" fillId="0" borderId="13" xfId="0" applyFont="1" applyBorder="1" applyAlignment="1" applyProtection="1">
      <alignment horizontal="left"/>
      <protection hidden="1"/>
    </xf>
    <xf numFmtId="0" fontId="47" fillId="0" borderId="14" xfId="0" applyFont="1" applyBorder="1" applyAlignment="1" applyProtection="1">
      <alignment horizontal="left"/>
      <protection hidden="1"/>
    </xf>
    <xf numFmtId="0" fontId="47" fillId="0" borderId="15" xfId="0" applyFont="1" applyBorder="1" applyAlignment="1" applyProtection="1">
      <alignment horizontal="left"/>
      <protection hidden="1"/>
    </xf>
    <xf numFmtId="0" fontId="0" fillId="33" borderId="34" xfId="0" applyFill="1" applyBorder="1" applyAlignment="1" applyProtection="1">
      <alignment horizontal="left"/>
      <protection hidden="1"/>
    </xf>
    <xf numFmtId="0" fontId="0" fillId="33" borderId="36" xfId="0" applyFill="1" applyBorder="1" applyAlignment="1" applyProtection="1">
      <alignment horizontal="left"/>
      <protection hidden="1"/>
    </xf>
    <xf numFmtId="0" fontId="0" fillId="33" borderId="37" xfId="0" applyFill="1" applyBorder="1" applyAlignment="1" applyProtection="1">
      <alignment horizontal="left"/>
      <protection hidden="1"/>
    </xf>
    <xf numFmtId="0" fontId="48" fillId="33" borderId="0" xfId="0" applyFont="1" applyFill="1" applyAlignment="1" applyProtection="1">
      <alignment horizontal="center"/>
      <protection hidden="1"/>
    </xf>
    <xf numFmtId="0" fontId="38" fillId="33" borderId="0" xfId="0" applyFont="1" applyFill="1" applyAlignment="1">
      <alignment vertical="center"/>
    </xf>
    <xf numFmtId="0" fontId="33" fillId="4" borderId="21" xfId="0" applyFont="1" applyFill="1" applyBorder="1" applyAlignment="1" applyProtection="1">
      <alignment horizontal="center"/>
      <protection hidden="1"/>
    </xf>
    <xf numFmtId="0" fontId="33" fillId="4" borderId="20" xfId="0" applyFont="1" applyFill="1" applyBorder="1" applyAlignment="1" applyProtection="1">
      <alignment horizontal="center"/>
      <protection hidden="1"/>
    </xf>
    <xf numFmtId="0" fontId="33" fillId="4" borderId="22" xfId="0" applyFont="1" applyFill="1" applyBorder="1" applyAlignment="1" applyProtection="1">
      <alignment horizontal="center"/>
      <protection hidden="1"/>
    </xf>
    <xf numFmtId="0" fontId="47" fillId="4" borderId="23" xfId="0" applyFont="1" applyFill="1" applyBorder="1" applyAlignment="1" applyProtection="1">
      <alignment horizontal="center" wrapText="1"/>
      <protection hidden="1"/>
    </xf>
    <xf numFmtId="0" fontId="47" fillId="4" borderId="19" xfId="0" applyFont="1" applyFill="1" applyBorder="1" applyAlignment="1" applyProtection="1">
      <alignment horizontal="center" wrapText="1"/>
      <protection hidden="1"/>
    </xf>
    <xf numFmtId="0" fontId="16" fillId="4" borderId="40" xfId="0" applyFont="1" applyFill="1" applyBorder="1" applyAlignment="1" applyProtection="1">
      <alignment horizontal="left"/>
      <protection hidden="1"/>
    </xf>
    <xf numFmtId="0" fontId="16" fillId="4" borderId="41" xfId="0" applyFont="1" applyFill="1" applyBorder="1" applyAlignment="1" applyProtection="1">
      <alignment horizontal="left"/>
      <protection hidden="1"/>
    </xf>
    <xf numFmtId="0" fontId="47" fillId="35" borderId="42" xfId="0" applyFont="1" applyFill="1" applyBorder="1" applyAlignment="1" applyProtection="1">
      <alignment horizontal="center" wrapText="1"/>
      <protection hidden="1"/>
    </xf>
    <xf numFmtId="0" fontId="47" fillId="35" borderId="43" xfId="0" applyFont="1" applyFill="1" applyBorder="1" applyAlignment="1" applyProtection="1">
      <alignment horizontal="center" wrapText="1"/>
      <protection hidden="1"/>
    </xf>
    <xf numFmtId="0" fontId="47" fillId="4" borderId="24" xfId="0" applyFont="1" applyFill="1" applyBorder="1" applyAlignment="1" applyProtection="1">
      <alignment horizontal="center" wrapText="1"/>
      <protection hidden="1"/>
    </xf>
    <xf numFmtId="0" fontId="47" fillId="35" borderId="27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7" fillId="35" borderId="24" xfId="0" applyFont="1" applyFill="1" applyBorder="1" applyAlignment="1" applyProtection="1">
      <alignment horizontal="center" wrapText="1"/>
      <protection hidden="1"/>
    </xf>
    <xf numFmtId="0" fontId="47" fillId="35" borderId="24" xfId="0" applyFont="1" applyFill="1" applyBorder="1" applyAlignment="1" applyProtection="1">
      <alignment horizontal="center"/>
      <protection hidden="1"/>
    </xf>
    <xf numFmtId="0" fontId="33" fillId="4" borderId="41" xfId="0" applyFont="1" applyFill="1" applyBorder="1" applyAlignment="1" applyProtection="1">
      <alignment horizontal="center"/>
      <protection hidden="1"/>
    </xf>
    <xf numFmtId="0" fontId="47" fillId="35" borderId="19" xfId="0" applyFont="1" applyFill="1" applyBorder="1" applyAlignment="1" applyProtection="1">
      <alignment horizontal="center" wrapText="1"/>
      <protection hidden="1"/>
    </xf>
    <xf numFmtId="0" fontId="47" fillId="35" borderId="19" xfId="0" applyFont="1" applyFill="1" applyBorder="1" applyAlignment="1" applyProtection="1">
      <alignment horizontal="center"/>
      <protection hidden="1"/>
    </xf>
    <xf numFmtId="0" fontId="47" fillId="35" borderId="44" xfId="0" applyFont="1" applyFill="1" applyBorder="1" applyAlignment="1" applyProtection="1">
      <alignment horizontal="center" wrapText="1"/>
      <protection hidden="1"/>
    </xf>
    <xf numFmtId="0" fontId="47" fillId="35" borderId="45" xfId="0" applyFont="1" applyFill="1" applyBorder="1" applyAlignment="1" applyProtection="1">
      <alignment horizontal="center" wrapText="1"/>
      <protection hidden="1"/>
    </xf>
    <xf numFmtId="0" fontId="33" fillId="0" borderId="40" xfId="0" applyFont="1" applyFill="1" applyBorder="1" applyAlignment="1" applyProtection="1">
      <alignment horizontal="center"/>
      <protection hidden="1"/>
    </xf>
    <xf numFmtId="0" fontId="33" fillId="0" borderId="46" xfId="0" applyFont="1" applyFill="1" applyBorder="1" applyAlignment="1" applyProtection="1">
      <alignment horizontal="center"/>
      <protection hidden="1"/>
    </xf>
    <xf numFmtId="0" fontId="33" fillId="0" borderId="47" xfId="0" applyFont="1" applyFill="1" applyBorder="1" applyAlignment="1" applyProtection="1">
      <alignment horizontal="center"/>
      <protection hidden="1"/>
    </xf>
    <xf numFmtId="0" fontId="47" fillId="35" borderId="48" xfId="0" applyFont="1" applyFill="1" applyBorder="1" applyAlignment="1" applyProtection="1">
      <alignment horizontal="center"/>
      <protection hidden="1"/>
    </xf>
    <xf numFmtId="0" fontId="47" fillId="35" borderId="49" xfId="0" applyFont="1" applyFill="1" applyBorder="1" applyAlignment="1" applyProtection="1">
      <alignment horizontal="center"/>
      <protection hidden="1"/>
    </xf>
    <xf numFmtId="0" fontId="47" fillId="35" borderId="42" xfId="0" applyFont="1" applyFill="1" applyBorder="1" applyAlignment="1" applyProtection="1">
      <alignment horizontal="center"/>
      <protection hidden="1"/>
    </xf>
    <xf numFmtId="0" fontId="47" fillId="35" borderId="43" xfId="0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开关频率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Freq(Khz)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375"/>
          <c:w val="0.9365"/>
          <c:h val="0.82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'高级版'!$U$9</c:f>
              <c:strCache>
                <c:ptCount val="1"/>
                <c:pt idx="0">
                  <c:v>开关频率
Freq(Khz)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'高级版'!$N$10:$N$29</c:f>
              <c:numCache/>
            </c:numRef>
          </c:xVal>
          <c:yVal>
            <c:numRef>
              <c:f>'高级版'!$U$10:$U$29</c:f>
              <c:numCache/>
            </c:numRef>
          </c:yVal>
          <c:smooth val="1"/>
        </c:ser>
        <c:axId val="66898145"/>
        <c:axId val="56783634"/>
      </c:scatterChart>
      <c:valAx>
        <c:axId val="66898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83634"/>
        <c:crosses val="autoZero"/>
        <c:crossBetween val="midCat"/>
        <c:dispUnits/>
        <c:majorUnit val="20"/>
      </c:valAx>
      <c:valAx>
        <c:axId val="56783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98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母线电流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Iin_av(A)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75"/>
          <c:w val="0.93925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'高级版'!$Q$9</c:f>
              <c:strCache>
                <c:ptCount val="1"/>
                <c:pt idx="0">
                  <c:v>母线电流
Iin_av(A)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'高级版'!$N$10:$N$29</c:f>
              <c:numCache/>
            </c:numRef>
          </c:xVal>
          <c:yVal>
            <c:numRef>
              <c:f>'高级版'!$Q$10:$Q$29</c:f>
              <c:numCache/>
            </c:numRef>
          </c:yVal>
          <c:smooth val="1"/>
        </c:ser>
        <c:axId val="30934643"/>
        <c:axId val="39402500"/>
      </c:scatterChart>
      <c:valAx>
        <c:axId val="30934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500"/>
        <c:crosses val="autoZero"/>
        <c:crossBetween val="midCat"/>
        <c:dispUnits/>
        <c:majorUnit val="20"/>
      </c:valAx>
      <c:valAx>
        <c:axId val="39402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4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19050</xdr:rowOff>
    </xdr:from>
    <xdr:to>
      <xdr:col>5</xdr:col>
      <xdr:colOff>1314450</xdr:colOff>
      <xdr:row>3</xdr:row>
      <xdr:rowOff>57150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050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0</xdr:rowOff>
    </xdr:from>
    <xdr:to>
      <xdr:col>10</xdr:col>
      <xdr:colOff>247650</xdr:colOff>
      <xdr:row>2</xdr:row>
      <xdr:rowOff>28575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28575</xdr:colOff>
      <xdr:row>29</xdr:row>
      <xdr:rowOff>85725</xdr:rowOff>
    </xdr:from>
    <xdr:to>
      <xdr:col>22</xdr:col>
      <xdr:colOff>561975</xdr:colOff>
      <xdr:row>42</xdr:row>
      <xdr:rowOff>314325</xdr:rowOff>
    </xdr:to>
    <xdr:graphicFrame>
      <xdr:nvGraphicFramePr>
        <xdr:cNvPr id="2" name="Chart 92"/>
        <xdr:cNvGraphicFramePr/>
      </xdr:nvGraphicFramePr>
      <xdr:xfrm>
        <a:off x="9391650" y="6238875"/>
        <a:ext cx="26860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152400</xdr:colOff>
      <xdr:row>29</xdr:row>
      <xdr:rowOff>85725</xdr:rowOff>
    </xdr:from>
    <xdr:to>
      <xdr:col>18</xdr:col>
      <xdr:colOff>9525</xdr:colOff>
      <xdr:row>42</xdr:row>
      <xdr:rowOff>295275</xdr:rowOff>
    </xdr:to>
    <xdr:graphicFrame>
      <xdr:nvGraphicFramePr>
        <xdr:cNvPr id="3" name="Chart 94"/>
        <xdr:cNvGraphicFramePr/>
      </xdr:nvGraphicFramePr>
      <xdr:xfrm>
        <a:off x="6562725" y="6238875"/>
        <a:ext cx="2809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171450</xdr:rowOff>
    </xdr:from>
    <xdr:to>
      <xdr:col>13</xdr:col>
      <xdr:colOff>200025</xdr:colOff>
      <xdr:row>65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81248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76200</xdr:rowOff>
    </xdr:from>
    <xdr:to>
      <xdr:col>12</xdr:col>
      <xdr:colOff>209550</xdr:colOff>
      <xdr:row>32</xdr:row>
      <xdr:rowOff>19050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38150"/>
          <a:ext cx="73152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140625" defaultRowHeight="15"/>
  <sheetData>
    <row r="2" ht="13.5">
      <c r="A2" s="338"/>
    </row>
    <row r="3" ht="13.5">
      <c r="A3" s="338"/>
    </row>
    <row r="4" ht="13.5">
      <c r="A4" s="338"/>
    </row>
    <row r="5" ht="13.5">
      <c r="A5" s="338"/>
    </row>
    <row r="6" ht="13.5">
      <c r="A6" s="338"/>
    </row>
    <row r="7" ht="13.5">
      <c r="A7" s="33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0.140625" style="63" customWidth="1"/>
    <col min="2" max="2" width="14.421875" style="64" customWidth="1"/>
    <col min="3" max="3" width="9.57421875" style="65" customWidth="1"/>
    <col min="4" max="4" width="8.7109375" style="66" customWidth="1"/>
    <col min="5" max="5" width="9.00390625" style="62" customWidth="1"/>
    <col min="6" max="6" width="31.421875" style="68" customWidth="1"/>
    <col min="7" max="7" width="9.421875" style="68" customWidth="1"/>
    <col min="8" max="8" width="9.00390625" style="64" customWidth="1"/>
    <col min="9" max="9" width="17.421875" style="62" customWidth="1"/>
    <col min="10" max="10" width="3.421875" style="62" customWidth="1"/>
    <col min="11" max="11" width="2.7109375" style="62" customWidth="1"/>
    <col min="12" max="16384" width="9.00390625" style="62" customWidth="1"/>
  </cols>
  <sheetData>
    <row r="1" spans="1:11" s="69" customFormat="1" ht="19.5" thickBot="1">
      <c r="A1" s="343" t="s">
        <v>265</v>
      </c>
      <c r="B1" s="344"/>
      <c r="C1" s="344"/>
      <c r="D1" s="345"/>
      <c r="E1" s="232"/>
      <c r="F1" s="240" t="s">
        <v>174</v>
      </c>
      <c r="G1" s="349" t="s">
        <v>176</v>
      </c>
      <c r="H1" s="349"/>
      <c r="I1" s="350"/>
      <c r="J1" s="102"/>
      <c r="K1" s="252"/>
    </row>
    <row r="2" spans="1:11" s="69" customFormat="1" ht="15.75" customHeight="1">
      <c r="A2" s="346"/>
      <c r="B2" s="347"/>
      <c r="C2" s="347"/>
      <c r="D2" s="348"/>
      <c r="E2" s="232"/>
      <c r="F2" s="241"/>
      <c r="G2" s="243" t="s">
        <v>61</v>
      </c>
      <c r="H2" s="70">
        <v>12345</v>
      </c>
      <c r="I2" s="71" t="s">
        <v>90</v>
      </c>
      <c r="J2" s="102"/>
      <c r="K2" s="252"/>
    </row>
    <row r="3" spans="1:11" s="69" customFormat="1" ht="18" customHeight="1">
      <c r="A3" s="238" t="s">
        <v>284</v>
      </c>
      <c r="B3" s="239" t="s">
        <v>175</v>
      </c>
      <c r="C3" s="72"/>
      <c r="D3" s="73"/>
      <c r="E3" s="233"/>
      <c r="F3" s="241"/>
      <c r="G3" s="244" t="s">
        <v>62</v>
      </c>
      <c r="H3" s="74">
        <v>12345</v>
      </c>
      <c r="I3" s="75" t="s">
        <v>63</v>
      </c>
      <c r="J3" s="102"/>
      <c r="K3" s="252"/>
    </row>
    <row r="4" spans="1:11" s="69" customFormat="1" ht="15.75" customHeight="1" thickBot="1">
      <c r="A4" s="354" t="s">
        <v>266</v>
      </c>
      <c r="B4" s="355"/>
      <c r="C4" s="355"/>
      <c r="D4" s="356"/>
      <c r="E4" s="234"/>
      <c r="F4" s="242"/>
      <c r="G4" s="245" t="s">
        <v>64</v>
      </c>
      <c r="H4" s="236">
        <v>12345</v>
      </c>
      <c r="I4" s="237" t="s">
        <v>65</v>
      </c>
      <c r="J4" s="102"/>
      <c r="K4" s="252"/>
    </row>
    <row r="5" spans="1:11" s="69" customFormat="1" ht="15.75" customHeight="1" thickBot="1">
      <c r="A5" s="213"/>
      <c r="B5" s="214"/>
      <c r="C5" s="214"/>
      <c r="D5" s="215"/>
      <c r="E5" s="216"/>
      <c r="F5" s="248" t="s">
        <v>267</v>
      </c>
      <c r="G5" s="29"/>
      <c r="H5" s="30"/>
      <c r="I5" s="249"/>
      <c r="J5" s="102"/>
      <c r="K5" s="252"/>
    </row>
    <row r="6" spans="1:11" s="69" customFormat="1" ht="16.5" thickBot="1">
      <c r="A6" s="106" t="s">
        <v>173</v>
      </c>
      <c r="B6" s="218"/>
      <c r="C6" s="131"/>
      <c r="D6" s="52"/>
      <c r="E6" s="217"/>
      <c r="F6" s="76" t="s">
        <v>185</v>
      </c>
      <c r="G6" s="34"/>
      <c r="H6" s="39"/>
      <c r="I6" s="35"/>
      <c r="J6" s="102"/>
      <c r="K6" s="252"/>
    </row>
    <row r="7" spans="1:11" ht="15.75">
      <c r="A7" s="223" t="s">
        <v>92</v>
      </c>
      <c r="B7" s="118" t="s">
        <v>183</v>
      </c>
      <c r="C7" s="224">
        <v>85</v>
      </c>
      <c r="D7" s="121" t="str">
        <f>IF(C7&lt;70,"太小",IF(C7&lt;280,"V","太大"))</f>
        <v>V</v>
      </c>
      <c r="E7" s="25"/>
      <c r="F7" s="207" t="s">
        <v>186</v>
      </c>
      <c r="G7" s="208"/>
      <c r="H7" s="208"/>
      <c r="I7" s="209"/>
      <c r="J7" s="102"/>
      <c r="K7" s="252"/>
    </row>
    <row r="8" spans="1:11" ht="14.25" customHeight="1">
      <c r="A8" s="225" t="s">
        <v>93</v>
      </c>
      <c r="B8" s="108" t="s">
        <v>182</v>
      </c>
      <c r="C8" s="219">
        <v>265</v>
      </c>
      <c r="D8" s="123" t="str">
        <f>IF(C8&lt;110,"太小",IF(C8&lt;310,"V","太大"))</f>
        <v>V</v>
      </c>
      <c r="E8" s="25"/>
      <c r="F8" s="207"/>
      <c r="G8" s="208"/>
      <c r="H8" s="208"/>
      <c r="I8" s="209"/>
      <c r="J8" s="102"/>
      <c r="K8" s="252"/>
    </row>
    <row r="9" spans="1:11" ht="17.25" customHeight="1">
      <c r="A9" s="225" t="s">
        <v>94</v>
      </c>
      <c r="B9" s="108" t="s">
        <v>198</v>
      </c>
      <c r="C9" s="219">
        <v>42</v>
      </c>
      <c r="D9" s="123" t="s">
        <v>66</v>
      </c>
      <c r="E9" s="25"/>
      <c r="F9" s="210" t="s">
        <v>177</v>
      </c>
      <c r="G9" s="211"/>
      <c r="H9" s="211"/>
      <c r="I9" s="212"/>
      <c r="J9" s="102"/>
      <c r="K9" s="252"/>
    </row>
    <row r="10" spans="1:11" ht="15.75">
      <c r="A10" s="225" t="s">
        <v>95</v>
      </c>
      <c r="B10" s="108" t="s">
        <v>67</v>
      </c>
      <c r="C10" s="219">
        <v>0.48</v>
      </c>
      <c r="D10" s="123" t="s">
        <v>86</v>
      </c>
      <c r="E10" s="25"/>
      <c r="F10" s="210"/>
      <c r="G10" s="211"/>
      <c r="H10" s="211"/>
      <c r="I10" s="212"/>
      <c r="J10" s="102"/>
      <c r="K10" s="252"/>
    </row>
    <row r="11" spans="1:11" ht="15.75">
      <c r="A11" s="225" t="s">
        <v>96</v>
      </c>
      <c r="B11" s="108" t="s">
        <v>180</v>
      </c>
      <c r="C11" s="220">
        <v>20</v>
      </c>
      <c r="D11" s="124" t="str">
        <f>IF(C11&lt;9,"欠压保护",IF(C11&lt;22.01,"V","过压保护"))</f>
        <v>V</v>
      </c>
      <c r="E11" s="303" t="s">
        <v>264</v>
      </c>
      <c r="F11" s="77" t="s">
        <v>178</v>
      </c>
      <c r="G11" s="36"/>
      <c r="H11" s="41"/>
      <c r="I11" s="42"/>
      <c r="J11" s="102"/>
      <c r="K11" s="252"/>
    </row>
    <row r="12" spans="1:11" ht="15.75">
      <c r="A12" s="225" t="s">
        <v>150</v>
      </c>
      <c r="B12" s="108" t="s">
        <v>151</v>
      </c>
      <c r="C12" s="220">
        <v>50</v>
      </c>
      <c r="D12" s="124" t="str">
        <f>IF(C12&lt;40,"太小",IF(C12&lt;80.1,"KHz","太大"))</f>
        <v>KHz</v>
      </c>
      <c r="E12" s="303" t="s">
        <v>264</v>
      </c>
      <c r="F12" s="104" t="s">
        <v>179</v>
      </c>
      <c r="G12" s="34"/>
      <c r="H12" s="39"/>
      <c r="I12" s="35"/>
      <c r="J12" s="102"/>
      <c r="K12" s="252"/>
    </row>
    <row r="13" spans="1:11" ht="18" customHeight="1">
      <c r="A13" s="225" t="s">
        <v>97</v>
      </c>
      <c r="B13" s="108" t="s">
        <v>14</v>
      </c>
      <c r="C13" s="111">
        <v>52</v>
      </c>
      <c r="D13" s="235" t="str">
        <f>IF(C13&lt;(C9+2),"太小",IF(C13&lt;(2*C9),"V","太大"))</f>
        <v>V</v>
      </c>
      <c r="E13" s="303" t="s">
        <v>264</v>
      </c>
      <c r="F13" s="78" t="s">
        <v>187</v>
      </c>
      <c r="G13" s="79"/>
      <c r="H13" s="79"/>
      <c r="I13" s="80"/>
      <c r="J13" s="102"/>
      <c r="K13" s="252"/>
    </row>
    <row r="14" spans="1:11" ht="15.75">
      <c r="A14" s="226" t="s">
        <v>152</v>
      </c>
      <c r="B14" s="135" t="s">
        <v>153</v>
      </c>
      <c r="C14" s="138">
        <f>1000*120.01/(120.01+C7*1.414)/C12</f>
        <v>9.992506244796003</v>
      </c>
      <c r="D14" s="227" t="s">
        <v>169</v>
      </c>
      <c r="E14" s="81"/>
      <c r="F14" s="339" t="s">
        <v>281</v>
      </c>
      <c r="G14" s="41"/>
      <c r="H14" s="36"/>
      <c r="I14" s="42"/>
      <c r="J14" s="102"/>
      <c r="K14" s="252"/>
    </row>
    <row r="15" spans="1:11" ht="17.25" customHeight="1">
      <c r="A15" s="226" t="s">
        <v>154</v>
      </c>
      <c r="B15" s="135" t="s">
        <v>155</v>
      </c>
      <c r="C15" s="138">
        <f>C7*1.414*C14/120.01</f>
        <v>10.007493755203996</v>
      </c>
      <c r="D15" s="144" t="s">
        <v>168</v>
      </c>
      <c r="E15" s="81"/>
      <c r="F15" s="103" t="s">
        <v>268</v>
      </c>
      <c r="G15" s="36"/>
      <c r="H15" s="41"/>
      <c r="I15" s="42"/>
      <c r="J15" s="102"/>
      <c r="K15" s="252"/>
    </row>
    <row r="16" spans="1:11" ht="17.25" customHeight="1">
      <c r="A16" s="226" t="s">
        <v>156</v>
      </c>
      <c r="B16" s="135" t="s">
        <v>157</v>
      </c>
      <c r="C16" s="138">
        <f>C9*C10*3.14*C25*(1.213+(C8*1.414/120.01))/0.9/1.89/C8/C8</f>
        <v>2.0126411391641734</v>
      </c>
      <c r="D16" s="144" t="s">
        <v>168</v>
      </c>
      <c r="E16" s="81"/>
      <c r="F16" s="38" t="s">
        <v>188</v>
      </c>
      <c r="G16" s="36"/>
      <c r="H16" s="41"/>
      <c r="I16" s="42"/>
      <c r="J16" s="102"/>
      <c r="K16" s="252"/>
    </row>
    <row r="17" spans="1:11" ht="17.25" customHeight="1">
      <c r="A17" s="226" t="s">
        <v>158</v>
      </c>
      <c r="B17" s="135" t="s">
        <v>159</v>
      </c>
      <c r="C17" s="137">
        <f>1000/(6.4+C16)</f>
        <v>118.8687337849946</v>
      </c>
      <c r="D17" s="144" t="s">
        <v>170</v>
      </c>
      <c r="E17" s="81"/>
      <c r="F17" s="40" t="s">
        <v>181</v>
      </c>
      <c r="G17" s="36"/>
      <c r="H17" s="41"/>
      <c r="I17" s="42"/>
      <c r="J17" s="102"/>
      <c r="K17" s="252"/>
    </row>
    <row r="18" spans="1:11" ht="15.75">
      <c r="A18" s="226" t="s">
        <v>160</v>
      </c>
      <c r="B18" s="135" t="s">
        <v>161</v>
      </c>
      <c r="C18" s="221">
        <f>C7*1.414*C14/C25</f>
        <v>1.3709512317282784</v>
      </c>
      <c r="D18" s="144" t="s">
        <v>171</v>
      </c>
      <c r="E18" s="81"/>
      <c r="F18" s="105" t="s">
        <v>193</v>
      </c>
      <c r="G18" s="36"/>
      <c r="H18" s="41"/>
      <c r="I18" s="42"/>
      <c r="J18" s="102"/>
      <c r="K18" s="252"/>
    </row>
    <row r="19" spans="1:11" ht="15.75">
      <c r="A19" s="226" t="s">
        <v>162</v>
      </c>
      <c r="B19" s="135" t="s">
        <v>163</v>
      </c>
      <c r="C19" s="221">
        <f>C18*120.01/C9</f>
        <v>3.917329936183588</v>
      </c>
      <c r="D19" s="144" t="s">
        <v>171</v>
      </c>
      <c r="E19" s="81"/>
      <c r="F19" s="77" t="s">
        <v>75</v>
      </c>
      <c r="G19" s="36"/>
      <c r="H19" s="41"/>
      <c r="I19" s="42"/>
      <c r="J19" s="102"/>
      <c r="K19" s="252"/>
    </row>
    <row r="20" spans="1:11" ht="15.75">
      <c r="A20" s="226" t="s">
        <v>164</v>
      </c>
      <c r="B20" s="135" t="s">
        <v>165</v>
      </c>
      <c r="C20" s="222">
        <f>0.9*0.5*C26*0.4/C27/C10</f>
        <v>1.0715178571428572</v>
      </c>
      <c r="D20" s="228" t="s">
        <v>172</v>
      </c>
      <c r="E20" s="81"/>
      <c r="F20" s="38" t="s">
        <v>189</v>
      </c>
      <c r="G20" s="84"/>
      <c r="H20" s="85"/>
      <c r="I20" s="42"/>
      <c r="J20" s="102"/>
      <c r="K20" s="252"/>
    </row>
    <row r="21" spans="1:11" ht="16.5" thickBot="1">
      <c r="A21" s="229" t="s">
        <v>166</v>
      </c>
      <c r="B21" s="146" t="s">
        <v>167</v>
      </c>
      <c r="C21" s="230">
        <f>(C13*C28/C27-3.2)/3.2</f>
        <v>6.840909090909092</v>
      </c>
      <c r="D21" s="149"/>
      <c r="E21" s="81"/>
      <c r="F21" s="246" t="s">
        <v>190</v>
      </c>
      <c r="G21" s="41"/>
      <c r="H21" s="36"/>
      <c r="I21" s="42"/>
      <c r="J21" s="102"/>
      <c r="K21" s="252"/>
    </row>
    <row r="22" spans="1:11" ht="16.5" thickBot="1">
      <c r="A22" s="81"/>
      <c r="B22" s="82"/>
      <c r="C22" s="83"/>
      <c r="D22" s="59"/>
      <c r="E22" s="81"/>
      <c r="F22" s="105" t="s">
        <v>191</v>
      </c>
      <c r="G22" s="41"/>
      <c r="H22" s="36"/>
      <c r="I22" s="87"/>
      <c r="J22" s="102"/>
      <c r="K22" s="252"/>
    </row>
    <row r="23" spans="1:11" ht="16.5" thickBot="1">
      <c r="A23" s="340" t="s">
        <v>68</v>
      </c>
      <c r="B23" s="341"/>
      <c r="C23" s="341"/>
      <c r="D23" s="342"/>
      <c r="E23" s="81"/>
      <c r="F23" s="77" t="s">
        <v>87</v>
      </c>
      <c r="G23" s="41"/>
      <c r="H23" s="36"/>
      <c r="I23" s="87"/>
      <c r="J23" s="102"/>
      <c r="K23" s="252"/>
    </row>
    <row r="24" spans="1:11" ht="17.25">
      <c r="A24" s="117" t="s">
        <v>69</v>
      </c>
      <c r="B24" s="118" t="s">
        <v>70</v>
      </c>
      <c r="C24" s="231">
        <v>40</v>
      </c>
      <c r="D24" s="141" t="s">
        <v>71</v>
      </c>
      <c r="E24" s="81"/>
      <c r="F24" s="33" t="s">
        <v>88</v>
      </c>
      <c r="G24" s="36"/>
      <c r="H24" s="41"/>
      <c r="I24" s="247"/>
      <c r="J24" s="102"/>
      <c r="K24" s="252"/>
    </row>
    <row r="25" spans="1:11" ht="15.75">
      <c r="A25" s="143" t="s">
        <v>72</v>
      </c>
      <c r="B25" s="135" t="s">
        <v>73</v>
      </c>
      <c r="C25" s="136">
        <f>0.9*C7*C7*C14*1.89/3.14/C9/C10/(1.213+(C7*1.414/120.01))</f>
        <v>876.0335873129503</v>
      </c>
      <c r="D25" s="144" t="s">
        <v>74</v>
      </c>
      <c r="E25" s="86"/>
      <c r="F25" s="38" t="s">
        <v>184</v>
      </c>
      <c r="G25" s="36"/>
      <c r="H25" s="36"/>
      <c r="I25" s="87"/>
      <c r="J25" s="102"/>
      <c r="K25" s="252"/>
    </row>
    <row r="26" spans="1:11" ht="15.75">
      <c r="A26" s="143" t="s">
        <v>76</v>
      </c>
      <c r="B26" s="135" t="s">
        <v>77</v>
      </c>
      <c r="C26" s="137">
        <f>C18*C25/C24/0.299</f>
        <v>100.41800380953441</v>
      </c>
      <c r="D26" s="144" t="s">
        <v>78</v>
      </c>
      <c r="E26" s="81"/>
      <c r="F26" s="38" t="s">
        <v>192</v>
      </c>
      <c r="G26" s="34"/>
      <c r="H26" s="34"/>
      <c r="I26" s="35"/>
      <c r="J26" s="102"/>
      <c r="K26" s="252"/>
    </row>
    <row r="27" spans="1:11" ht="16.5" thickBot="1">
      <c r="A27" s="143" t="s">
        <v>79</v>
      </c>
      <c r="B27" s="135" t="s">
        <v>80</v>
      </c>
      <c r="C27" s="137">
        <f>C26/(120.01/C9)</f>
        <v>35.1433727189438</v>
      </c>
      <c r="D27" s="144" t="s">
        <v>78</v>
      </c>
      <c r="E27" s="88"/>
      <c r="F27" s="351"/>
      <c r="G27" s="352"/>
      <c r="H27" s="352"/>
      <c r="I27" s="353"/>
      <c r="J27" s="102"/>
      <c r="K27" s="252"/>
    </row>
    <row r="28" spans="1:11" ht="16.5" thickBot="1">
      <c r="A28" s="145" t="s">
        <v>81</v>
      </c>
      <c r="B28" s="146" t="s">
        <v>82</v>
      </c>
      <c r="C28" s="148">
        <f>(C11+0.7)/(C9+0.9)*C27</f>
        <v>16.95729173151834</v>
      </c>
      <c r="D28" s="149" t="s">
        <v>78</v>
      </c>
      <c r="E28" s="88"/>
      <c r="F28" s="254" t="s">
        <v>269</v>
      </c>
      <c r="G28" s="250"/>
      <c r="H28" s="250"/>
      <c r="I28" s="251"/>
      <c r="J28" s="102"/>
      <c r="K28" s="252"/>
    </row>
    <row r="29" spans="1:11" ht="15.75" customHeight="1" hidden="1">
      <c r="A29" s="89" t="s">
        <v>83</v>
      </c>
      <c r="B29" s="90" t="s">
        <v>83</v>
      </c>
      <c r="C29" s="91" t="e">
        <v>#REF!</v>
      </c>
      <c r="D29" s="92" t="s">
        <v>84</v>
      </c>
      <c r="E29" s="81"/>
      <c r="F29" s="67"/>
      <c r="K29" s="253"/>
    </row>
    <row r="30" spans="1:11" ht="15.75">
      <c r="A30" s="98"/>
      <c r="B30" s="99"/>
      <c r="C30" s="100"/>
      <c r="D30" s="101"/>
      <c r="E30" s="102"/>
      <c r="F30" s="102"/>
      <c r="G30" s="102"/>
      <c r="H30" s="102"/>
      <c r="I30" s="102"/>
      <c r="J30" s="102"/>
      <c r="K30" s="253"/>
    </row>
    <row r="31" spans="1:6" ht="15.75">
      <c r="A31" s="93"/>
      <c r="B31" s="94"/>
      <c r="C31" s="95"/>
      <c r="D31" s="96"/>
      <c r="E31" s="97"/>
      <c r="F31" s="63"/>
    </row>
  </sheetData>
  <sheetProtection password="8DE0" sheet="1"/>
  <mergeCells count="5">
    <mergeCell ref="A23:D23"/>
    <mergeCell ref="A1:D2"/>
    <mergeCell ref="G1:I1"/>
    <mergeCell ref="F27:I27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7">
      <selection activeCell="E13" sqref="E13"/>
    </sheetView>
  </sheetViews>
  <sheetFormatPr defaultColWidth="9.140625" defaultRowHeight="15"/>
  <cols>
    <col min="1" max="1" width="19.57421875" style="55" customWidth="1"/>
    <col min="2" max="2" width="9.8515625" style="56" customWidth="1"/>
    <col min="3" max="3" width="8.28125" style="57" customWidth="1"/>
    <col min="4" max="4" width="4.421875" style="57" hidden="1" customWidth="1"/>
    <col min="5" max="5" width="5.57421875" style="58" customWidth="1"/>
    <col min="6" max="6" width="1.8515625" style="60" customWidth="1"/>
    <col min="7" max="7" width="13.421875" style="56" customWidth="1"/>
    <col min="8" max="8" width="5.7109375" style="56" customWidth="1"/>
    <col min="9" max="9" width="13.00390625" style="25" customWidth="1"/>
    <col min="10" max="10" width="8.8515625" style="61" customWidth="1"/>
    <col min="11" max="11" width="7.421875" style="25" customWidth="1"/>
    <col min="12" max="13" width="2.57421875" style="25" customWidth="1"/>
    <col min="14" max="14" width="7.421875" style="25" bestFit="1" customWidth="1"/>
    <col min="15" max="16" width="8.421875" style="25" bestFit="1" customWidth="1"/>
    <col min="17" max="17" width="9.421875" style="25" customWidth="1"/>
    <col min="18" max="18" width="8.00390625" style="25" bestFit="1" customWidth="1"/>
    <col min="19" max="19" width="8.421875" style="25" bestFit="1" customWidth="1"/>
    <col min="20" max="20" width="6.57421875" style="25" bestFit="1" customWidth="1"/>
    <col min="21" max="21" width="9.7109375" style="25" customWidth="1"/>
    <col min="22" max="22" width="7.57421875" style="25" bestFit="1" customWidth="1"/>
    <col min="23" max="23" width="9.00390625" style="25" customWidth="1"/>
    <col min="24" max="24" width="2.57421875" style="25" customWidth="1"/>
    <col min="25" max="16384" width="9.00390625" style="25" customWidth="1"/>
  </cols>
  <sheetData>
    <row r="1" spans="1:24" s="1" customFormat="1" ht="23.25" customHeight="1" thickBot="1">
      <c r="A1" s="2" t="s">
        <v>271</v>
      </c>
      <c r="B1" s="3"/>
      <c r="C1" s="3"/>
      <c r="D1" s="3"/>
      <c r="E1" s="3"/>
      <c r="F1" s="4"/>
      <c r="G1" s="5"/>
      <c r="H1" s="6"/>
      <c r="I1" s="7"/>
      <c r="J1" s="7"/>
      <c r="K1" s="8"/>
      <c r="L1" s="9"/>
      <c r="M1" s="300"/>
      <c r="N1" s="398" t="s">
        <v>270</v>
      </c>
      <c r="O1" s="399"/>
      <c r="P1" s="399"/>
      <c r="Q1" s="399"/>
      <c r="R1" s="399"/>
      <c r="S1" s="399"/>
      <c r="T1" s="399"/>
      <c r="U1" s="399"/>
      <c r="V1" s="399"/>
      <c r="W1" s="399"/>
      <c r="X1" s="9"/>
    </row>
    <row r="2" spans="1:24" s="1" customFormat="1" ht="25.5" customHeight="1" thickBot="1">
      <c r="A2" s="10" t="s">
        <v>283</v>
      </c>
      <c r="B2" s="11" t="s">
        <v>194</v>
      </c>
      <c r="C2" s="11"/>
      <c r="D2" s="11"/>
      <c r="E2" s="11"/>
      <c r="F2" s="12"/>
      <c r="G2" s="13"/>
      <c r="H2" s="14"/>
      <c r="I2" s="15"/>
      <c r="J2" s="15"/>
      <c r="K2" s="16"/>
      <c r="L2" s="9"/>
      <c r="M2" s="300"/>
      <c r="N2" s="400" t="s">
        <v>261</v>
      </c>
      <c r="O2" s="401"/>
      <c r="P2" s="401"/>
      <c r="Q2" s="401"/>
      <c r="R2" s="401"/>
      <c r="S2" s="401"/>
      <c r="T2" s="402"/>
      <c r="U2" s="414" t="s">
        <v>241</v>
      </c>
      <c r="V2" s="401"/>
      <c r="W2" s="402"/>
      <c r="X2" s="9"/>
    </row>
    <row r="3" spans="1:24" s="1" customFormat="1" ht="16.5" customHeight="1" thickBot="1">
      <c r="A3" s="395" t="s">
        <v>272</v>
      </c>
      <c r="B3" s="396"/>
      <c r="C3" s="396"/>
      <c r="D3" s="396"/>
      <c r="E3" s="396"/>
      <c r="F3" s="396"/>
      <c r="G3" s="397"/>
      <c r="H3" s="20" t="s">
        <v>0</v>
      </c>
      <c r="I3" s="21"/>
      <c r="J3" s="365" t="s">
        <v>89</v>
      </c>
      <c r="K3" s="365"/>
      <c r="L3" s="22"/>
      <c r="M3" s="301"/>
      <c r="N3" s="403" t="s">
        <v>242</v>
      </c>
      <c r="O3" s="404" t="s">
        <v>243</v>
      </c>
      <c r="P3" s="404" t="s">
        <v>244</v>
      </c>
      <c r="Q3" s="404" t="s">
        <v>245</v>
      </c>
      <c r="R3" s="404" t="s">
        <v>246</v>
      </c>
      <c r="S3" s="404" t="s">
        <v>247</v>
      </c>
      <c r="T3" s="409" t="s">
        <v>248</v>
      </c>
      <c r="U3" s="410" t="s">
        <v>249</v>
      </c>
      <c r="V3" s="415" t="s">
        <v>250</v>
      </c>
      <c r="W3" s="412" t="s">
        <v>263</v>
      </c>
      <c r="X3" s="22"/>
    </row>
    <row r="4" spans="1:24" s="1" customFormat="1" ht="18" customHeight="1" thickBot="1">
      <c r="A4" s="271" t="s">
        <v>237</v>
      </c>
      <c r="B4" s="53"/>
      <c r="C4" s="53"/>
      <c r="D4" s="53"/>
      <c r="E4" s="272"/>
      <c r="F4" s="17"/>
      <c r="G4" s="19"/>
      <c r="H4" s="23" t="s">
        <v>1</v>
      </c>
      <c r="I4" s="24"/>
      <c r="J4" s="366" t="s">
        <v>2</v>
      </c>
      <c r="K4" s="367"/>
      <c r="L4" s="22"/>
      <c r="M4" s="301"/>
      <c r="N4" s="403"/>
      <c r="O4" s="404"/>
      <c r="P4" s="404"/>
      <c r="Q4" s="404"/>
      <c r="R4" s="404"/>
      <c r="S4" s="404"/>
      <c r="T4" s="409"/>
      <c r="U4" s="410"/>
      <c r="V4" s="415"/>
      <c r="W4" s="413"/>
      <c r="X4" s="22"/>
    </row>
    <row r="5" spans="1:24" ht="16.5" thickBot="1">
      <c r="A5" s="117" t="s">
        <v>3</v>
      </c>
      <c r="B5" s="118" t="s">
        <v>195</v>
      </c>
      <c r="C5" s="119">
        <v>85</v>
      </c>
      <c r="D5" s="120"/>
      <c r="E5" s="121" t="s">
        <v>4</v>
      </c>
      <c r="F5" s="1"/>
      <c r="G5" s="19"/>
      <c r="H5" s="26" t="s">
        <v>5</v>
      </c>
      <c r="I5" s="27"/>
      <c r="J5" s="368" t="s">
        <v>6</v>
      </c>
      <c r="K5" s="369"/>
      <c r="L5" s="22"/>
      <c r="M5" s="301"/>
      <c r="N5" s="307">
        <v>85</v>
      </c>
      <c r="O5" s="305">
        <v>24.5</v>
      </c>
      <c r="P5" s="306">
        <v>2.85</v>
      </c>
      <c r="Q5" s="304">
        <v>2000</v>
      </c>
      <c r="R5" s="304">
        <v>183</v>
      </c>
      <c r="S5" s="304">
        <v>35</v>
      </c>
      <c r="T5" s="308">
        <v>24</v>
      </c>
      <c r="U5" s="315">
        <f>T5*O5/S5</f>
        <v>16.8</v>
      </c>
      <c r="V5" s="316">
        <f>0.9*0.4*R5/2/P5/S5</f>
        <v>0.3302255639097745</v>
      </c>
      <c r="W5" s="317" t="str">
        <f>IF((1.414*S5*V5*3.1415926*Q5*(1.213+(N5*1.414*S5/O5/R5))/R5/(C15/100)/1.89/N5)&lt;6.4,"DCM","CRM")</f>
        <v>CRM</v>
      </c>
      <c r="X5" s="22"/>
    </row>
    <row r="6" spans="1:24" ht="16.5" thickBot="1">
      <c r="A6" s="122" t="s">
        <v>7</v>
      </c>
      <c r="B6" s="108" t="s">
        <v>196</v>
      </c>
      <c r="C6" s="109">
        <v>265</v>
      </c>
      <c r="D6" s="110"/>
      <c r="E6" s="123" t="s">
        <v>4</v>
      </c>
      <c r="F6" s="1"/>
      <c r="G6" s="28" t="s">
        <v>85</v>
      </c>
      <c r="H6" s="29"/>
      <c r="I6" s="30"/>
      <c r="J6" s="31"/>
      <c r="K6" s="32"/>
      <c r="L6" s="22"/>
      <c r="M6" s="301"/>
      <c r="N6" s="309" t="str">
        <f>IF(N5&lt;$C$5,"太小",IF(N5&lt;($C$6+1),"OK","太大"))</f>
        <v>OK</v>
      </c>
      <c r="O6" s="310" t="str">
        <f>IF(O5&lt;0.5*$C$7,"太小",IF(O5&lt;($C$7+0.1),"OK","太大"))</f>
        <v>OK</v>
      </c>
      <c r="P6" s="310" t="str">
        <f>IF(P5&gt;3*$C$33,"太大",IF(P5&gt;(0.99*$C$33),"OK","太小"))</f>
        <v>太大</v>
      </c>
      <c r="Q6" s="310" t="str">
        <f>IF(Q5&gt;1.1*$C$18,"太大",IF(Q5&gt;(0.9*$C$18),"OK","太小"))</f>
        <v>太大</v>
      </c>
      <c r="R6" s="310" t="str">
        <f>IF(R5&gt;(2+$C$19),"太大",IF(R5&gt;($C$19-1),"OK","太小"))</f>
        <v>太大</v>
      </c>
      <c r="S6" s="310" t="str">
        <f>IF(S5&gt;($C$20+0.6),"太大",IF(S5&gt;($C$20-0.6),"OK","太小"))</f>
        <v>太大</v>
      </c>
      <c r="T6" s="311" t="str">
        <f>IF(U5&gt;18.5,"太大",IF(T5&gt;($C$21-2),"OK","太小"))</f>
        <v>OK</v>
      </c>
      <c r="U6" s="312" t="str">
        <f>IF(U5&lt;8.5,"欠压",IF(U5&lt;22.01,"OK","过压"))</f>
        <v>OK</v>
      </c>
      <c r="V6" s="313" t="s">
        <v>273</v>
      </c>
      <c r="W6" s="314" t="s">
        <v>273</v>
      </c>
      <c r="X6" s="22"/>
    </row>
    <row r="7" spans="1:24" ht="16.5" thickBot="1">
      <c r="A7" s="122" t="s">
        <v>8</v>
      </c>
      <c r="B7" s="108" t="s">
        <v>197</v>
      </c>
      <c r="C7" s="109">
        <v>36</v>
      </c>
      <c r="D7" s="110"/>
      <c r="E7" s="123" t="s">
        <v>4</v>
      </c>
      <c r="F7" s="1"/>
      <c r="G7" s="38" t="s">
        <v>282</v>
      </c>
      <c r="H7" s="34"/>
      <c r="I7" s="34"/>
      <c r="J7" s="34"/>
      <c r="K7" s="35"/>
      <c r="L7" s="22"/>
      <c r="M7" s="30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22"/>
    </row>
    <row r="8" spans="1:24" ht="15.75">
      <c r="A8" s="122" t="s">
        <v>9</v>
      </c>
      <c r="B8" s="108" t="s">
        <v>10</v>
      </c>
      <c r="C8" s="109">
        <v>1.65</v>
      </c>
      <c r="D8" s="110"/>
      <c r="E8" s="123" t="s">
        <v>11</v>
      </c>
      <c r="F8" s="1"/>
      <c r="G8" s="38" t="s">
        <v>219</v>
      </c>
      <c r="H8" s="36"/>
      <c r="I8" s="34"/>
      <c r="J8" s="37"/>
      <c r="K8" s="35"/>
      <c r="L8" s="22"/>
      <c r="M8" s="301"/>
      <c r="N8" s="419" t="s">
        <v>251</v>
      </c>
      <c r="O8" s="420"/>
      <c r="P8" s="420"/>
      <c r="Q8" s="420"/>
      <c r="R8" s="420"/>
      <c r="S8" s="420"/>
      <c r="T8" s="420"/>
      <c r="U8" s="420"/>
      <c r="V8" s="420"/>
      <c r="W8" s="421"/>
      <c r="X8" s="22"/>
    </row>
    <row r="9" spans="1:24" ht="15.75" customHeight="1">
      <c r="A9" s="122" t="s">
        <v>12</v>
      </c>
      <c r="B9" s="108" t="s">
        <v>199</v>
      </c>
      <c r="C9" s="111">
        <v>18.2</v>
      </c>
      <c r="D9" s="112" t="str">
        <f>IF(AND(8.2&lt;C9,C9&lt;18.2),C9," ")</f>
        <v> </v>
      </c>
      <c r="E9" s="124" t="str">
        <f>IF(C9&lt;9,"欠压保护",IF(C9&lt;22.01,"V","过压保护"))</f>
        <v>V</v>
      </c>
      <c r="F9" s="25" t="s">
        <v>235</v>
      </c>
      <c r="G9" s="38" t="s">
        <v>218</v>
      </c>
      <c r="H9" s="34"/>
      <c r="I9" s="34"/>
      <c r="J9" s="37"/>
      <c r="K9" s="35"/>
      <c r="L9" s="22"/>
      <c r="M9" s="301"/>
      <c r="N9" s="422" t="s">
        <v>252</v>
      </c>
      <c r="O9" s="424" t="s">
        <v>253</v>
      </c>
      <c r="P9" s="407" t="s">
        <v>254</v>
      </c>
      <c r="Q9" s="407" t="s">
        <v>255</v>
      </c>
      <c r="R9" s="407" t="s">
        <v>256</v>
      </c>
      <c r="S9" s="407" t="s">
        <v>257</v>
      </c>
      <c r="T9" s="415" t="s">
        <v>262</v>
      </c>
      <c r="U9" s="407" t="s">
        <v>258</v>
      </c>
      <c r="V9" s="407" t="s">
        <v>259</v>
      </c>
      <c r="W9" s="417" t="s">
        <v>260</v>
      </c>
      <c r="X9" s="22"/>
    </row>
    <row r="10" spans="1:24" ht="15.75">
      <c r="A10" s="255" t="s">
        <v>200</v>
      </c>
      <c r="B10" s="108" t="s">
        <v>201</v>
      </c>
      <c r="C10" s="111">
        <v>40</v>
      </c>
      <c r="D10" s="110" t="str">
        <f>IF(AND(0.2&lt;C10,C10&lt;0.44),C10," ")</f>
        <v> </v>
      </c>
      <c r="E10" s="124" t="str">
        <f>IF(C10&lt;40,"太小",IF(C10&lt;80.1,"KHz","太大"))</f>
        <v>KHz</v>
      </c>
      <c r="F10" s="25" t="s">
        <v>235</v>
      </c>
      <c r="G10" s="38" t="s">
        <v>220</v>
      </c>
      <c r="H10" s="34"/>
      <c r="I10" s="34"/>
      <c r="J10" s="34"/>
      <c r="K10" s="35"/>
      <c r="L10" s="22"/>
      <c r="M10" s="301"/>
      <c r="N10" s="423"/>
      <c r="O10" s="425"/>
      <c r="P10" s="408"/>
      <c r="Q10" s="408"/>
      <c r="R10" s="408"/>
      <c r="S10" s="408"/>
      <c r="T10" s="416"/>
      <c r="U10" s="408"/>
      <c r="V10" s="408"/>
      <c r="W10" s="418"/>
      <c r="X10" s="22"/>
    </row>
    <row r="11" spans="1:24" ht="15.75">
      <c r="A11" s="256" t="s">
        <v>202</v>
      </c>
      <c r="B11" s="108" t="s">
        <v>203</v>
      </c>
      <c r="C11" s="114">
        <v>108</v>
      </c>
      <c r="D11" s="110">
        <f>IF(C11&lt;(C6*SQRT(2)+60),0,IF(C11&lt;(C6*SQRT(2)+150),C11,0))</f>
        <v>0</v>
      </c>
      <c r="E11" s="124" t="str">
        <f>IF(C11&lt;80,"太小",IF(C11&lt;141,"V","MOS危险"))</f>
        <v>V</v>
      </c>
      <c r="F11" s="25" t="s">
        <v>235</v>
      </c>
      <c r="G11" s="38" t="s">
        <v>221</v>
      </c>
      <c r="H11" s="34"/>
      <c r="I11" s="34"/>
      <c r="J11" s="34"/>
      <c r="K11" s="35"/>
      <c r="L11" s="22"/>
      <c r="M11" s="301"/>
      <c r="N11" s="274">
        <v>1</v>
      </c>
      <c r="O11" s="275">
        <f>N11*3.1415926/180</f>
        <v>0.017453292222222222</v>
      </c>
      <c r="P11" s="276">
        <f>$N$5*1.414*SIN(O11)</f>
        <v>2.0976046939194597</v>
      </c>
      <c r="Q11" s="277">
        <f>0.5*V11*R11/T11</f>
        <v>0.0027141419883394404</v>
      </c>
      <c r="R11" s="278">
        <f aca="true" t="shared" si="0" ref="R11:R29">IF($W$5="CRM",($O$5*$V$5*3.1415926*$Q$5*(1.213+$N$5*1.414*$S$5/$O$5/$R$5)/($C$15/100)/1.89/$N$5/$N$5),($Q$5*(($O$5*$V$5+SQRT(($O$5*$V$5)^2+2*$O$5*$V$5*$N$5*$N$5*($C$15/100)*6.4/$Q$5))/$N$5/$N$5/($C$15/100))))</f>
        <v>8.898271034220489</v>
      </c>
      <c r="S11" s="278">
        <f>W11*$Q$5*$S$5*$S$5/$O$5/$R$5/$R$5</f>
        <v>0.14570690936103403</v>
      </c>
      <c r="T11" s="291">
        <f>1000/U11</f>
        <v>15.29827103422049</v>
      </c>
      <c r="U11" s="276">
        <f>IF(S11&lt;6.4,1000/(6.4+R11),1000/(R11+S11))</f>
        <v>65.36686386083198</v>
      </c>
      <c r="V11" s="277">
        <f>P11*R11/$Q$5</f>
        <v>0.009332527544574231</v>
      </c>
      <c r="W11" s="273">
        <f>V11*$R$5/$S$5</f>
        <v>0.048795786875916694</v>
      </c>
      <c r="X11" s="22"/>
    </row>
    <row r="12" spans="1:24" ht="16.5" thickBot="1">
      <c r="A12" s="125" t="s">
        <v>13</v>
      </c>
      <c r="B12" s="126" t="s">
        <v>14</v>
      </c>
      <c r="C12" s="127">
        <v>47</v>
      </c>
      <c r="D12" s="128"/>
      <c r="E12" s="129" t="str">
        <f>IF(C12&lt;(C7+2),"太小",IF(C12&lt;(2*C7),"V","太大"))</f>
        <v>V</v>
      </c>
      <c r="F12" s="25" t="s">
        <v>235</v>
      </c>
      <c r="G12" s="43" t="s">
        <v>222</v>
      </c>
      <c r="H12" s="260"/>
      <c r="I12" s="203"/>
      <c r="J12" s="261"/>
      <c r="K12" s="204"/>
      <c r="L12" s="22"/>
      <c r="M12" s="301"/>
      <c r="N12" s="274">
        <v>10</v>
      </c>
      <c r="O12" s="275">
        <f>N12*3.1415926/180</f>
        <v>0.17453292222222222</v>
      </c>
      <c r="P12" s="276">
        <f aca="true" t="shared" si="1" ref="P12:P29">$N$5*1.414*SIN(O12)</f>
        <v>20.87077412139366</v>
      </c>
      <c r="Q12" s="277">
        <f aca="true" t="shared" si="2" ref="Q12:Q29">0.5*V12*R12/T12</f>
        <v>0.02700520481110143</v>
      </c>
      <c r="R12" s="278">
        <f t="shared" si="0"/>
        <v>8.898271034220489</v>
      </c>
      <c r="S12" s="278">
        <f aca="true" t="shared" si="3" ref="S12:S29">W12*$Q$5*$S$5*$S$5/$O$5/$R$5/$R$5</f>
        <v>1.449756477955939</v>
      </c>
      <c r="T12" s="291">
        <f aca="true" t="shared" si="4" ref="T12:T29">1000/U12</f>
        <v>15.29827103422049</v>
      </c>
      <c r="U12" s="276">
        <f aca="true" t="shared" si="5" ref="U12:U29">IF(S12&lt;6.4,1000/(6.4+R12),1000/(R12+S12))</f>
        <v>65.36686386083198</v>
      </c>
      <c r="V12" s="277">
        <f aca="true" t="shared" si="6" ref="V12:V29">P12*R12/$Q$5</f>
        <v>0.0928569024130779</v>
      </c>
      <c r="W12" s="273">
        <f aca="true" t="shared" si="7" ref="W12:W29">V12*$R$5/$S$5</f>
        <v>0.48550894690266444</v>
      </c>
      <c r="X12" s="22"/>
    </row>
    <row r="13" spans="1:24" ht="16.5" thickBot="1">
      <c r="A13" s="44"/>
      <c r="B13" s="45"/>
      <c r="C13" s="46"/>
      <c r="D13" s="46"/>
      <c r="E13" s="47"/>
      <c r="F13" s="1"/>
      <c r="G13" s="19"/>
      <c r="H13" s="19"/>
      <c r="I13" s="1"/>
      <c r="J13" s="1"/>
      <c r="K13" s="1"/>
      <c r="L13" s="22"/>
      <c r="M13" s="301"/>
      <c r="N13" s="274">
        <v>20</v>
      </c>
      <c r="O13" s="275">
        <f>N13*3.1415926/180</f>
        <v>0.34906584444444444</v>
      </c>
      <c r="P13" s="276">
        <f t="shared" si="1"/>
        <v>41.1074003538099</v>
      </c>
      <c r="Q13" s="277">
        <f t="shared" si="2"/>
        <v>0.053189870167233214</v>
      </c>
      <c r="R13" s="278">
        <f t="shared" si="0"/>
        <v>8.898271034220489</v>
      </c>
      <c r="S13" s="278">
        <f t="shared" si="3"/>
        <v>2.855462840440372</v>
      </c>
      <c r="T13" s="291">
        <f t="shared" si="4"/>
        <v>15.29827103422049</v>
      </c>
      <c r="U13" s="276">
        <f t="shared" si="5"/>
        <v>65.36686386083198</v>
      </c>
      <c r="V13" s="277">
        <f t="shared" si="6"/>
        <v>0.18289239493020584</v>
      </c>
      <c r="W13" s="273">
        <f t="shared" si="7"/>
        <v>0.9562659506350764</v>
      </c>
      <c r="X13" s="22"/>
    </row>
    <row r="14" spans="1:24" ht="16.5" thickBot="1">
      <c r="A14" s="206" t="s">
        <v>15</v>
      </c>
      <c r="B14" s="130"/>
      <c r="C14" s="131"/>
      <c r="D14" s="132"/>
      <c r="E14" s="133"/>
      <c r="F14" s="25"/>
      <c r="G14" s="159" t="s">
        <v>238</v>
      </c>
      <c r="H14" s="130"/>
      <c r="I14" s="107"/>
      <c r="J14" s="107"/>
      <c r="K14" s="160"/>
      <c r="L14" s="22"/>
      <c r="M14" s="301"/>
      <c r="N14" s="274">
        <v>30</v>
      </c>
      <c r="O14" s="275">
        <f aca="true" t="shared" si="8" ref="O14:O29">N14*3.1415926/180</f>
        <v>0.5235987666666666</v>
      </c>
      <c r="P14" s="276">
        <f t="shared" si="1"/>
        <v>60.09499907032789</v>
      </c>
      <c r="Q14" s="277">
        <f t="shared" si="2"/>
        <v>0.07775838828870359</v>
      </c>
      <c r="R14" s="278">
        <f t="shared" si="0"/>
        <v>8.898271034220489</v>
      </c>
      <c r="S14" s="278">
        <f t="shared" si="3"/>
        <v>4.174407412404417</v>
      </c>
      <c r="T14" s="291">
        <f t="shared" si="4"/>
        <v>15.29827103422049</v>
      </c>
      <c r="U14" s="276">
        <f t="shared" si="5"/>
        <v>65.36686386083198</v>
      </c>
      <c r="V14" s="277">
        <f t="shared" si="6"/>
        <v>0.26737079476450293</v>
      </c>
      <c r="W14" s="273">
        <f t="shared" si="7"/>
        <v>1.3979672983401152</v>
      </c>
      <c r="X14" s="22"/>
    </row>
    <row r="15" spans="1:24" ht="15.75">
      <c r="A15" s="179" t="s">
        <v>91</v>
      </c>
      <c r="B15" s="118" t="s">
        <v>16</v>
      </c>
      <c r="C15" s="259">
        <v>90</v>
      </c>
      <c r="D15" s="140"/>
      <c r="E15" s="258" t="str">
        <f>IF(C15&lt;80,"太小",IF(C15&lt;92,"%","太大"))</f>
        <v>%</v>
      </c>
      <c r="F15" s="1"/>
      <c r="G15" s="370" t="s">
        <v>17</v>
      </c>
      <c r="H15" s="371"/>
      <c r="I15" s="116" t="s">
        <v>18</v>
      </c>
      <c r="J15" s="139">
        <v>8.4</v>
      </c>
      <c r="K15" s="168" t="s">
        <v>19</v>
      </c>
      <c r="L15" s="22"/>
      <c r="M15" s="301"/>
      <c r="N15" s="274">
        <v>40</v>
      </c>
      <c r="O15" s="275">
        <f t="shared" si="8"/>
        <v>0.6981316888888889</v>
      </c>
      <c r="P15" s="276">
        <f t="shared" si="1"/>
        <v>77.25664171176749</v>
      </c>
      <c r="Q15" s="277">
        <f t="shared" si="2"/>
        <v>0.09996425721006494</v>
      </c>
      <c r="R15" s="278">
        <f t="shared" si="0"/>
        <v>8.898271034220489</v>
      </c>
      <c r="S15" s="278">
        <f t="shared" si="3"/>
        <v>5.366514731810859</v>
      </c>
      <c r="T15" s="291">
        <f t="shared" si="4"/>
        <v>15.29827103422049</v>
      </c>
      <c r="U15" s="276">
        <f t="shared" si="5"/>
        <v>65.36686386083198</v>
      </c>
      <c r="V15" s="277">
        <f t="shared" si="6"/>
        <v>0.34372526857248553</v>
      </c>
      <c r="W15" s="273">
        <f t="shared" si="7"/>
        <v>1.7971921185361386</v>
      </c>
      <c r="X15" s="22"/>
    </row>
    <row r="16" spans="1:24" ht="15.75">
      <c r="A16" s="122" t="s">
        <v>20</v>
      </c>
      <c r="B16" s="108" t="s">
        <v>21</v>
      </c>
      <c r="C16" s="111">
        <v>170</v>
      </c>
      <c r="D16" s="115"/>
      <c r="E16" s="142" t="s">
        <v>22</v>
      </c>
      <c r="F16" s="1"/>
      <c r="G16" s="372" t="s">
        <v>23</v>
      </c>
      <c r="H16" s="373"/>
      <c r="I16" s="161" t="s">
        <v>24</v>
      </c>
      <c r="J16" s="134">
        <v>2.8</v>
      </c>
      <c r="K16" s="169" t="s">
        <v>19</v>
      </c>
      <c r="L16" s="22"/>
      <c r="M16" s="301"/>
      <c r="N16" s="274">
        <v>50</v>
      </c>
      <c r="O16" s="275">
        <f>N16*3.1415926/180</f>
        <v>0.8726646111111112</v>
      </c>
      <c r="P16" s="276">
        <f t="shared" si="1"/>
        <v>92.07088046842343</v>
      </c>
      <c r="Q16" s="277">
        <f>0.5*V16*R16/T16</f>
        <v>0.11913276286381382</v>
      </c>
      <c r="R16" s="278">
        <f t="shared" si="0"/>
        <v>8.898271034220489</v>
      </c>
      <c r="S16" s="278">
        <f t="shared" si="3"/>
        <v>6.395563222227552</v>
      </c>
      <c r="T16" s="291">
        <f t="shared" si="4"/>
        <v>15.29827103422049</v>
      </c>
      <c r="U16" s="276">
        <f t="shared" si="5"/>
        <v>65.36686386083198</v>
      </c>
      <c r="V16" s="277">
        <f t="shared" si="6"/>
        <v>0.4096358243836746</v>
      </c>
      <c r="W16" s="273">
        <f t="shared" si="7"/>
        <v>2.1418101674917844</v>
      </c>
      <c r="X16" s="22"/>
    </row>
    <row r="17" spans="1:24" ht="15.75">
      <c r="A17" s="122" t="s">
        <v>25</v>
      </c>
      <c r="B17" s="108" t="s">
        <v>26</v>
      </c>
      <c r="C17" s="113">
        <v>0.28</v>
      </c>
      <c r="D17" s="110">
        <f>IF(AND(0&lt;C17,C17&lt;0.33),C17," ")</f>
        <v>0.28</v>
      </c>
      <c r="E17" s="124" t="str">
        <f>IF(C17&lt;0.2,"太小",IF(C17&lt;0.311,"T","饱和"))</f>
        <v>T</v>
      </c>
      <c r="F17" s="1"/>
      <c r="G17" s="170" t="s">
        <v>27</v>
      </c>
      <c r="H17" s="163"/>
      <c r="I17" s="164" t="s">
        <v>28</v>
      </c>
      <c r="J17" s="165">
        <f>IF(AND(0&lt;J19+J20+J21+J22,J19+J20+J21+J22&lt;J16),J19+J20+J21+J22,"太厚")</f>
        <v>1.24</v>
      </c>
      <c r="K17" s="171" t="str">
        <f>IF(AND(0&lt;J19+J20+J21+J22,J19+J20+J21+J22&lt;J16),"mm","超过槽深")</f>
        <v>mm</v>
      </c>
      <c r="L17" s="22"/>
      <c r="M17" s="301"/>
      <c r="N17" s="274">
        <v>60</v>
      </c>
      <c r="O17" s="275">
        <f t="shared" si="8"/>
        <v>1.0471975333333332</v>
      </c>
      <c r="P17" s="276">
        <f t="shared" si="1"/>
        <v>104.08759220735878</v>
      </c>
      <c r="Q17" s="277">
        <f t="shared" si="2"/>
        <v>0.12774818035933264</v>
      </c>
      <c r="R17" s="278">
        <f t="shared" si="0"/>
        <v>8.898271034220489</v>
      </c>
      <c r="S17" s="278">
        <f t="shared" si="3"/>
        <v>7.230285767060852</v>
      </c>
      <c r="T17" s="291">
        <f t="shared" si="4"/>
        <v>16.12855680128134</v>
      </c>
      <c r="U17" s="276">
        <f t="shared" si="5"/>
        <v>62.00182770975234</v>
      </c>
      <c r="V17" s="277">
        <f t="shared" si="6"/>
        <v>0.4630998033802475</v>
      </c>
      <c r="W17" s="273">
        <f t="shared" si="7"/>
        <v>2.4213504005310083</v>
      </c>
      <c r="X17" s="22"/>
    </row>
    <row r="18" spans="1:24" ht="15.75">
      <c r="A18" s="143" t="s">
        <v>29</v>
      </c>
      <c r="B18" s="135" t="s">
        <v>30</v>
      </c>
      <c r="C18" s="136">
        <f>(C15/100)*C5*C5*C25*1.89/3.14/C7/C8/(1.213+(C5*1.414/C11))</f>
        <v>335.20286476468715</v>
      </c>
      <c r="D18" s="136"/>
      <c r="E18" s="144" t="s">
        <v>31</v>
      </c>
      <c r="F18" s="1"/>
      <c r="G18" s="374" t="s">
        <v>32</v>
      </c>
      <c r="H18" s="375"/>
      <c r="I18" s="263" t="s">
        <v>33</v>
      </c>
      <c r="J18" s="375" t="s">
        <v>34</v>
      </c>
      <c r="K18" s="376"/>
      <c r="L18" s="22"/>
      <c r="M18" s="301"/>
      <c r="N18" s="274">
        <v>70</v>
      </c>
      <c r="O18" s="275">
        <f t="shared" si="8"/>
        <v>1.2217304555555555</v>
      </c>
      <c r="P18" s="276">
        <f t="shared" si="1"/>
        <v>112.94165523556053</v>
      </c>
      <c r="Q18" s="277">
        <f t="shared" si="2"/>
        <v>0.1335232257009472</v>
      </c>
      <c r="R18" s="278">
        <f t="shared" si="0"/>
        <v>8.898271034220489</v>
      </c>
      <c r="S18" s="278">
        <f t="shared" si="3"/>
        <v>7.845319745039071</v>
      </c>
      <c r="T18" s="291">
        <f t="shared" si="4"/>
        <v>16.74359077925956</v>
      </c>
      <c r="U18" s="276">
        <f t="shared" si="5"/>
        <v>59.72434546350173</v>
      </c>
      <c r="V18" s="277">
        <f t="shared" si="6"/>
        <v>0.5024927296697526</v>
      </c>
      <c r="W18" s="273">
        <f t="shared" si="7"/>
        <v>2.6273191294161347</v>
      </c>
      <c r="X18" s="22"/>
    </row>
    <row r="19" spans="1:24" ht="15.75">
      <c r="A19" s="143" t="s">
        <v>35</v>
      </c>
      <c r="B19" s="135" t="s">
        <v>36</v>
      </c>
      <c r="C19" s="137">
        <f>C18*C30/C16/C17</f>
        <v>29.876418773828824</v>
      </c>
      <c r="D19" s="137"/>
      <c r="E19" s="144" t="s">
        <v>37</v>
      </c>
      <c r="F19" s="25" t="s">
        <v>235</v>
      </c>
      <c r="G19" s="172">
        <v>0.22</v>
      </c>
      <c r="H19" s="162" t="s">
        <v>19</v>
      </c>
      <c r="I19" s="166">
        <f>C19*G19*1.05/J15</f>
        <v>0.8216015162802927</v>
      </c>
      <c r="J19" s="167">
        <f>CEILING(I19,1)*G19</f>
        <v>0.22</v>
      </c>
      <c r="K19" s="173" t="s">
        <v>19</v>
      </c>
      <c r="L19" s="22"/>
      <c r="M19" s="301"/>
      <c r="N19" s="274">
        <v>80</v>
      </c>
      <c r="O19" s="275">
        <f t="shared" si="8"/>
        <v>1.3962633777777778</v>
      </c>
      <c r="P19" s="276">
        <f t="shared" si="1"/>
        <v>118.3640433374437</v>
      </c>
      <c r="Q19" s="277">
        <f t="shared" si="2"/>
        <v>0.13685510167341766</v>
      </c>
      <c r="R19" s="278">
        <f t="shared" si="0"/>
        <v>8.898271034220489</v>
      </c>
      <c r="S19" s="278">
        <f t="shared" si="3"/>
        <v>8.221977660599485</v>
      </c>
      <c r="T19" s="291">
        <f t="shared" si="4"/>
        <v>17.120248694819974</v>
      </c>
      <c r="U19" s="276">
        <f t="shared" si="5"/>
        <v>58.41036645119339</v>
      </c>
      <c r="V19" s="277">
        <f t="shared" si="6"/>
        <v>0.526617669161397</v>
      </c>
      <c r="W19" s="273">
        <f t="shared" si="7"/>
        <v>2.7534580987581614</v>
      </c>
      <c r="X19" s="22"/>
    </row>
    <row r="20" spans="1:24" ht="15.75">
      <c r="A20" s="143" t="s">
        <v>38</v>
      </c>
      <c r="B20" s="135" t="s">
        <v>39</v>
      </c>
      <c r="C20" s="137">
        <f>C19/C22</f>
        <v>9.95880625794294</v>
      </c>
      <c r="D20" s="137"/>
      <c r="E20" s="144" t="s">
        <v>37</v>
      </c>
      <c r="F20" s="25" t="s">
        <v>235</v>
      </c>
      <c r="G20" s="172">
        <v>0.45</v>
      </c>
      <c r="H20" s="162" t="s">
        <v>19</v>
      </c>
      <c r="I20" s="166">
        <f>C20*G20*1.05/J15</f>
        <v>0.5601828520092904</v>
      </c>
      <c r="J20" s="167">
        <f>CEILING(I20,1)*G20</f>
        <v>0.45</v>
      </c>
      <c r="K20" s="173" t="s">
        <v>19</v>
      </c>
      <c r="L20" s="22"/>
      <c r="M20" s="301"/>
      <c r="N20" s="292">
        <v>90</v>
      </c>
      <c r="O20" s="293">
        <f>N20*3.1415926/180</f>
        <v>1.5707963</v>
      </c>
      <c r="P20" s="294">
        <f t="shared" si="1"/>
        <v>120.18999999999996</v>
      </c>
      <c r="Q20" s="295">
        <f t="shared" si="2"/>
        <v>0.13794433661921465</v>
      </c>
      <c r="R20" s="296">
        <f t="shared" si="0"/>
        <v>8.898271034220489</v>
      </c>
      <c r="S20" s="296">
        <f t="shared" si="3"/>
        <v>8.34881495396534</v>
      </c>
      <c r="T20" s="297">
        <f t="shared" si="4"/>
        <v>17.24708598818583</v>
      </c>
      <c r="U20" s="294">
        <f t="shared" si="5"/>
        <v>57.9808090876914</v>
      </c>
      <c r="V20" s="295">
        <f t="shared" si="6"/>
        <v>0.5347415978014801</v>
      </c>
      <c r="W20" s="298">
        <f t="shared" si="7"/>
        <v>2.7959346399334533</v>
      </c>
      <c r="X20" s="22"/>
    </row>
    <row r="21" spans="1:24" ht="15.75">
      <c r="A21" s="143" t="s">
        <v>40</v>
      </c>
      <c r="B21" s="135" t="s">
        <v>41</v>
      </c>
      <c r="C21" s="137">
        <f>C20*C9/C7</f>
        <v>5.034729830404486</v>
      </c>
      <c r="D21" s="137"/>
      <c r="E21" s="144" t="s">
        <v>37</v>
      </c>
      <c r="F21" s="25" t="s">
        <v>235</v>
      </c>
      <c r="G21" s="172">
        <v>0.12</v>
      </c>
      <c r="H21" s="162" t="s">
        <v>19</v>
      </c>
      <c r="I21" s="166">
        <f>C21*G21*1.05/J15</f>
        <v>0.07552094745606729</v>
      </c>
      <c r="J21" s="167">
        <f>CEILING(I21,1)*G21</f>
        <v>0.12</v>
      </c>
      <c r="K21" s="173" t="s">
        <v>19</v>
      </c>
      <c r="L21" s="22"/>
      <c r="M21" s="301"/>
      <c r="N21" s="274">
        <v>100</v>
      </c>
      <c r="O21" s="275">
        <f t="shared" si="8"/>
        <v>1.7453292222222223</v>
      </c>
      <c r="P21" s="276">
        <f t="shared" si="1"/>
        <v>118.36404445590416</v>
      </c>
      <c r="Q21" s="277">
        <f t="shared" si="2"/>
        <v>0.136855102345554</v>
      </c>
      <c r="R21" s="278">
        <f t="shared" si="0"/>
        <v>8.898271034220489</v>
      </c>
      <c r="S21" s="278">
        <f t="shared" si="3"/>
        <v>8.221977738291635</v>
      </c>
      <c r="T21" s="291">
        <f t="shared" si="4"/>
        <v>17.120248772512124</v>
      </c>
      <c r="U21" s="276">
        <f t="shared" si="5"/>
        <v>58.41036618612557</v>
      </c>
      <c r="V21" s="277">
        <f t="shared" si="6"/>
        <v>0.5266176741375791</v>
      </c>
      <c r="W21" s="273">
        <f t="shared" si="7"/>
        <v>2.753458124776485</v>
      </c>
      <c r="X21" s="22"/>
    </row>
    <row r="22" spans="1:24" ht="16.5" thickBot="1">
      <c r="A22" s="229" t="s">
        <v>205</v>
      </c>
      <c r="B22" s="146" t="s">
        <v>204</v>
      </c>
      <c r="C22" s="147">
        <f>C11/C7</f>
        <v>3</v>
      </c>
      <c r="D22" s="148"/>
      <c r="E22" s="149"/>
      <c r="F22" s="1"/>
      <c r="G22" s="270" t="s">
        <v>42</v>
      </c>
      <c r="H22" s="174"/>
      <c r="I22" s="48"/>
      <c r="J22" s="175">
        <v>0.45</v>
      </c>
      <c r="K22" s="176" t="s">
        <v>19</v>
      </c>
      <c r="L22" s="22"/>
      <c r="M22" s="301"/>
      <c r="N22" s="274">
        <v>110</v>
      </c>
      <c r="O22" s="275">
        <f t="shared" si="8"/>
        <v>1.9198621444444446</v>
      </c>
      <c r="P22" s="276">
        <f t="shared" si="1"/>
        <v>112.94165743849761</v>
      </c>
      <c r="Q22" s="277">
        <f t="shared" si="2"/>
        <v>0.1335232270850291</v>
      </c>
      <c r="R22" s="278">
        <f t="shared" si="0"/>
        <v>8.898271034220489</v>
      </c>
      <c r="S22" s="278">
        <f t="shared" si="3"/>
        <v>7.845319898062735</v>
      </c>
      <c r="T22" s="291">
        <f t="shared" si="4"/>
        <v>16.743590932283226</v>
      </c>
      <c r="U22" s="276">
        <f t="shared" si="5"/>
        <v>59.724344917666706</v>
      </c>
      <c r="V22" s="277">
        <f t="shared" si="6"/>
        <v>0.5024927394709182</v>
      </c>
      <c r="W22" s="273">
        <f t="shared" si="7"/>
        <v>2.6273191806622296</v>
      </c>
      <c r="X22" s="22"/>
    </row>
    <row r="23" spans="1:24" ht="16.5" thickBot="1">
      <c r="A23" s="44"/>
      <c r="B23" s="45"/>
      <c r="C23" s="46"/>
      <c r="D23" s="46"/>
      <c r="E23" s="47"/>
      <c r="F23" s="1"/>
      <c r="G23" s="45"/>
      <c r="H23" s="46"/>
      <c r="I23" s="44"/>
      <c r="J23" s="45"/>
      <c r="K23" s="46"/>
      <c r="L23" s="22"/>
      <c r="M23" s="301"/>
      <c r="N23" s="274">
        <v>120</v>
      </c>
      <c r="O23" s="275">
        <f t="shared" si="8"/>
        <v>2.0943950666666664</v>
      </c>
      <c r="P23" s="276">
        <f t="shared" si="1"/>
        <v>104.08759542783739</v>
      </c>
      <c r="Q23" s="277">
        <f t="shared" si="2"/>
        <v>0.12774818253998432</v>
      </c>
      <c r="R23" s="278">
        <f t="shared" si="0"/>
        <v>8.898271034220489</v>
      </c>
      <c r="S23" s="278">
        <f t="shared" si="3"/>
        <v>7.230285990766483</v>
      </c>
      <c r="T23" s="291">
        <f t="shared" si="4"/>
        <v>16.12855702498697</v>
      </c>
      <c r="U23" s="276">
        <f t="shared" si="5"/>
        <v>62.00182684977721</v>
      </c>
      <c r="V23" s="277">
        <f t="shared" si="6"/>
        <v>0.4630998177085932</v>
      </c>
      <c r="W23" s="273">
        <f t="shared" si="7"/>
        <v>2.4213504754477877</v>
      </c>
      <c r="X23" s="22"/>
    </row>
    <row r="24" spans="1:24" ht="16.5" thickBot="1">
      <c r="A24" s="49" t="s">
        <v>43</v>
      </c>
      <c r="B24" s="50"/>
      <c r="C24" s="51"/>
      <c r="D24" s="51"/>
      <c r="E24" s="52"/>
      <c r="F24" s="1"/>
      <c r="G24" s="362" t="s">
        <v>223</v>
      </c>
      <c r="H24" s="363"/>
      <c r="I24" s="363"/>
      <c r="J24" s="363"/>
      <c r="K24" s="364"/>
      <c r="L24" s="22"/>
      <c r="M24" s="301"/>
      <c r="N24" s="274">
        <v>130</v>
      </c>
      <c r="O24" s="275">
        <f>N24*3.1415926/180</f>
        <v>2.2689279888888887</v>
      </c>
      <c r="P24" s="276">
        <f t="shared" si="1"/>
        <v>92.07088460859089</v>
      </c>
      <c r="Q24" s="277">
        <f t="shared" si="2"/>
        <v>0.11913276822087769</v>
      </c>
      <c r="R24" s="278">
        <f t="shared" si="0"/>
        <v>8.898271034220489</v>
      </c>
      <c r="S24" s="278">
        <f t="shared" si="3"/>
        <v>6.395563509817964</v>
      </c>
      <c r="T24" s="291">
        <f t="shared" si="4"/>
        <v>15.29827103422049</v>
      </c>
      <c r="U24" s="276">
        <f t="shared" si="5"/>
        <v>65.36686386083198</v>
      </c>
      <c r="V24" s="277">
        <f t="shared" si="6"/>
        <v>0.40963584280384063</v>
      </c>
      <c r="W24" s="273">
        <f t="shared" si="7"/>
        <v>2.141810263802938</v>
      </c>
      <c r="X24" s="22"/>
    </row>
    <row r="25" spans="1:24" ht="15.75">
      <c r="A25" s="257" t="s">
        <v>206</v>
      </c>
      <c r="B25" s="151" t="s">
        <v>207</v>
      </c>
      <c r="C25" s="152">
        <f>1000*C11/(C11+C5*1.414)/C10</f>
        <v>11.83224505894211</v>
      </c>
      <c r="D25" s="152"/>
      <c r="E25" s="153" t="s">
        <v>44</v>
      </c>
      <c r="F25" s="1"/>
      <c r="G25" s="405" t="s">
        <v>236</v>
      </c>
      <c r="H25" s="406"/>
      <c r="I25" s="177" t="s">
        <v>45</v>
      </c>
      <c r="J25" s="178">
        <v>25</v>
      </c>
      <c r="K25" s="258" t="str">
        <f>IF(J25&lt;0.5*C7,"太小",IF(J25&lt;(C7+0.1),"V","太大"))</f>
        <v>V</v>
      </c>
      <c r="L25" s="22"/>
      <c r="M25" s="301"/>
      <c r="N25" s="274">
        <v>140</v>
      </c>
      <c r="O25" s="275">
        <f t="shared" si="8"/>
        <v>2.443460911111111</v>
      </c>
      <c r="P25" s="276">
        <f t="shared" si="1"/>
        <v>77.25664664582695</v>
      </c>
      <c r="Q25" s="277">
        <f t="shared" si="2"/>
        <v>0.09996426359436508</v>
      </c>
      <c r="R25" s="278">
        <f t="shared" si="0"/>
        <v>8.898271034220489</v>
      </c>
      <c r="S25" s="278">
        <f t="shared" si="3"/>
        <v>5.36651507454777</v>
      </c>
      <c r="T25" s="291">
        <f t="shared" si="4"/>
        <v>15.29827103422049</v>
      </c>
      <c r="U25" s="276">
        <f t="shared" si="5"/>
        <v>65.36686386083198</v>
      </c>
      <c r="V25" s="277">
        <f t="shared" si="6"/>
        <v>0.34372529052478473</v>
      </c>
      <c r="W25" s="273">
        <f t="shared" si="7"/>
        <v>1.797192233315303</v>
      </c>
      <c r="X25" s="22"/>
    </row>
    <row r="26" spans="1:24" ht="15.75">
      <c r="A26" s="226" t="s">
        <v>208</v>
      </c>
      <c r="B26" s="135" t="s">
        <v>155</v>
      </c>
      <c r="C26" s="138">
        <f>C5*1.414*C25/C11</f>
        <v>13.16775494105789</v>
      </c>
      <c r="D26" s="138"/>
      <c r="E26" s="144" t="s">
        <v>44</v>
      </c>
      <c r="F26" s="25"/>
      <c r="G26" s="357" t="s">
        <v>47</v>
      </c>
      <c r="H26" s="358"/>
      <c r="I26" s="135" t="s">
        <v>48</v>
      </c>
      <c r="J26" s="285">
        <f>J25*C21/C20</f>
        <v>12.638888888888886</v>
      </c>
      <c r="K26" s="154" t="str">
        <f>IF(J26&lt;8.5,"欠压保护",IF(J26&lt;22.01,"V","过压保护"))</f>
        <v>V</v>
      </c>
      <c r="L26" s="22"/>
      <c r="M26" s="301"/>
      <c r="N26" s="274">
        <v>150</v>
      </c>
      <c r="O26" s="275">
        <f t="shared" si="8"/>
        <v>2.6179938333333337</v>
      </c>
      <c r="P26" s="276">
        <f t="shared" si="1"/>
        <v>60.0950046483604</v>
      </c>
      <c r="Q26" s="277">
        <f t="shared" si="2"/>
        <v>0.07775839550625621</v>
      </c>
      <c r="R26" s="278">
        <f t="shared" si="0"/>
        <v>8.898271034220489</v>
      </c>
      <c r="S26" s="278">
        <f t="shared" si="3"/>
        <v>4.174407799873934</v>
      </c>
      <c r="T26" s="291">
        <f t="shared" si="4"/>
        <v>15.29827103422049</v>
      </c>
      <c r="U26" s="276">
        <f t="shared" si="5"/>
        <v>65.36686386083198</v>
      </c>
      <c r="V26" s="277">
        <f t="shared" si="6"/>
        <v>0.2673708195819255</v>
      </c>
      <c r="W26" s="273">
        <f t="shared" si="7"/>
        <v>1.3979674280997818</v>
      </c>
      <c r="X26" s="22"/>
    </row>
    <row r="27" spans="1:24" ht="15.75">
      <c r="A27" s="226" t="s">
        <v>209</v>
      </c>
      <c r="B27" s="135" t="s">
        <v>201</v>
      </c>
      <c r="C27" s="137">
        <f>1000/(C25+C26)</f>
        <v>40</v>
      </c>
      <c r="D27" s="138"/>
      <c r="E27" s="227" t="s">
        <v>231</v>
      </c>
      <c r="F27" s="1"/>
      <c r="G27" s="361" t="s">
        <v>224</v>
      </c>
      <c r="H27" s="358"/>
      <c r="I27" s="135" t="s">
        <v>226</v>
      </c>
      <c r="J27" s="285">
        <f>J25*C8*3.14*C18*(1.213+C5*1.414/(J25*C22))/(C15/100)/C5/C5/1.89</f>
        <v>9.946718583531103</v>
      </c>
      <c r="K27" s="144" t="s">
        <v>44</v>
      </c>
      <c r="L27" s="22"/>
      <c r="M27" s="301"/>
      <c r="N27" s="274">
        <v>160</v>
      </c>
      <c r="O27" s="275">
        <f t="shared" si="8"/>
        <v>2.7925267555555555</v>
      </c>
      <c r="P27" s="276">
        <f t="shared" si="1"/>
        <v>41.10740640632986</v>
      </c>
      <c r="Q27" s="277">
        <f t="shared" si="2"/>
        <v>0.053189877998736736</v>
      </c>
      <c r="R27" s="278">
        <f t="shared" si="0"/>
        <v>8.898271034220489</v>
      </c>
      <c r="S27" s="278">
        <f t="shared" si="3"/>
        <v>2.8554632608694352</v>
      </c>
      <c r="T27" s="291">
        <f t="shared" si="4"/>
        <v>15.29827103422049</v>
      </c>
      <c r="U27" s="276">
        <f t="shared" si="5"/>
        <v>65.36686386083198</v>
      </c>
      <c r="V27" s="277">
        <f t="shared" si="6"/>
        <v>0.18289242185868734</v>
      </c>
      <c r="W27" s="273">
        <f t="shared" si="7"/>
        <v>0.9562660914325654</v>
      </c>
      <c r="X27" s="22"/>
    </row>
    <row r="28" spans="1:24" ht="15.75">
      <c r="A28" s="226" t="s">
        <v>210</v>
      </c>
      <c r="B28" s="135" t="s">
        <v>157</v>
      </c>
      <c r="C28" s="138">
        <f>C7*C8*3.14*C18*(1.213+(C6*1.414/C11))/(C15/100)/C6/C6/1.89</f>
        <v>2.45080622262597</v>
      </c>
      <c r="D28" s="138"/>
      <c r="E28" s="144" t="s">
        <v>232</v>
      </c>
      <c r="F28" s="53"/>
      <c r="G28" s="361" t="s">
        <v>225</v>
      </c>
      <c r="H28" s="358"/>
      <c r="I28" s="135" t="s">
        <v>46</v>
      </c>
      <c r="J28" s="285">
        <f>C5*1.414*J27/(J25*C22)</f>
        <v>15.939948087394711</v>
      </c>
      <c r="K28" s="173" t="s">
        <v>44</v>
      </c>
      <c r="L28" s="22"/>
      <c r="M28" s="301"/>
      <c r="N28" s="274">
        <v>170</v>
      </c>
      <c r="O28" s="275">
        <f t="shared" si="8"/>
        <v>2.967059677777778</v>
      </c>
      <c r="P28" s="276">
        <f t="shared" si="1"/>
        <v>20.870780464498264</v>
      </c>
      <c r="Q28" s="277">
        <f t="shared" si="2"/>
        <v>0.027005213018599532</v>
      </c>
      <c r="R28" s="278">
        <f t="shared" si="0"/>
        <v>8.898271034220489</v>
      </c>
      <c r="S28" s="278">
        <f t="shared" si="3"/>
        <v>1.4497569185700216</v>
      </c>
      <c r="T28" s="291">
        <f t="shared" si="4"/>
        <v>15.29827103422049</v>
      </c>
      <c r="U28" s="276">
        <f t="shared" si="5"/>
        <v>65.36686386083198</v>
      </c>
      <c r="V28" s="277">
        <f t="shared" si="6"/>
        <v>0.09285693063440988</v>
      </c>
      <c r="W28" s="273">
        <f t="shared" si="7"/>
        <v>0.48550909445991447</v>
      </c>
      <c r="X28" s="22"/>
    </row>
    <row r="29" spans="1:24" ht="16.5" thickBot="1">
      <c r="A29" s="155" t="s">
        <v>51</v>
      </c>
      <c r="B29" s="135" t="s">
        <v>211</v>
      </c>
      <c r="C29" s="137">
        <f>1000/(6.4+C28)</f>
        <v>112.98405759281297</v>
      </c>
      <c r="D29" s="137"/>
      <c r="E29" s="262" t="s">
        <v>230</v>
      </c>
      <c r="F29" s="1"/>
      <c r="G29" s="361" t="s">
        <v>209</v>
      </c>
      <c r="H29" s="358"/>
      <c r="I29" s="135" t="s">
        <v>227</v>
      </c>
      <c r="J29" s="286">
        <f>1000/(J27+J28)</f>
        <v>38.62992530912192</v>
      </c>
      <c r="K29" s="144" t="s">
        <v>233</v>
      </c>
      <c r="L29" s="22"/>
      <c r="M29" s="301"/>
      <c r="N29" s="279">
        <v>180</v>
      </c>
      <c r="O29" s="280">
        <f t="shared" si="8"/>
        <v>3.1415926</v>
      </c>
      <c r="P29" s="281">
        <f t="shared" si="1"/>
        <v>6.44095724111521E-06</v>
      </c>
      <c r="Q29" s="282">
        <f t="shared" si="2"/>
        <v>8.33411202019411E-09</v>
      </c>
      <c r="R29" s="283">
        <f t="shared" si="0"/>
        <v>8.898271034220489</v>
      </c>
      <c r="S29" s="283">
        <f t="shared" si="3"/>
        <v>4.474112665985026E-07</v>
      </c>
      <c r="T29" s="299">
        <f t="shared" si="4"/>
        <v>15.29827103422049</v>
      </c>
      <c r="U29" s="281">
        <f t="shared" si="5"/>
        <v>65.36686386083198</v>
      </c>
      <c r="V29" s="282">
        <f t="shared" si="6"/>
        <v>2.8656691625634096E-08</v>
      </c>
      <c r="W29" s="284">
        <f t="shared" si="7"/>
        <v>1.4983355907117256E-07</v>
      </c>
      <c r="X29" s="22"/>
    </row>
    <row r="30" spans="1:24" ht="15.75">
      <c r="A30" s="226" t="s">
        <v>212</v>
      </c>
      <c r="B30" s="135" t="s">
        <v>213</v>
      </c>
      <c r="C30" s="150">
        <f>C5*1.414*C25/C18</f>
        <v>4.242557815347373</v>
      </c>
      <c r="D30" s="138"/>
      <c r="E30" s="144" t="s">
        <v>53</v>
      </c>
      <c r="F30" s="1"/>
      <c r="G30" s="361" t="s">
        <v>228</v>
      </c>
      <c r="H30" s="358"/>
      <c r="I30" s="135" t="s">
        <v>226</v>
      </c>
      <c r="J30" s="287">
        <f>J25*C8*3.14*C18*(1.213+C6*1.414/(J25*C22))/(C15/100)/C6/C6/1.89</f>
        <v>2.2568164926887033</v>
      </c>
      <c r="K30" s="173" t="s">
        <v>44</v>
      </c>
      <c r="L30" s="54"/>
      <c r="M30" s="302"/>
      <c r="X30" s="54"/>
    </row>
    <row r="31" spans="1:24" ht="17.25" customHeight="1">
      <c r="A31" s="143" t="s">
        <v>54</v>
      </c>
      <c r="B31" s="135" t="s">
        <v>214</v>
      </c>
      <c r="C31" s="150">
        <f>C30*C22</f>
        <v>12.72767344604212</v>
      </c>
      <c r="D31" s="138"/>
      <c r="E31" s="144" t="s">
        <v>53</v>
      </c>
      <c r="F31" s="1"/>
      <c r="G31" s="361" t="s">
        <v>229</v>
      </c>
      <c r="H31" s="358"/>
      <c r="I31" s="135" t="s">
        <v>49</v>
      </c>
      <c r="J31" s="137">
        <f>1000/(J30+6.4)</f>
        <v>115.51590597358407</v>
      </c>
      <c r="K31" s="144" t="s">
        <v>50</v>
      </c>
      <c r="L31" s="22"/>
      <c r="M31" s="301"/>
      <c r="X31" s="22"/>
    </row>
    <row r="32" spans="1:24" ht="17.25" customHeight="1" thickBot="1">
      <c r="A32" s="17"/>
      <c r="B32" s="1"/>
      <c r="C32" s="1"/>
      <c r="D32" s="1"/>
      <c r="E32" s="18"/>
      <c r="F32" s="1"/>
      <c r="G32" s="357" t="s">
        <v>56</v>
      </c>
      <c r="H32" s="358"/>
      <c r="I32" s="135" t="s">
        <v>52</v>
      </c>
      <c r="J32" s="288">
        <f>C5*1.414*J27/C18</f>
        <v>3.566485350278385</v>
      </c>
      <c r="K32" s="144" t="s">
        <v>53</v>
      </c>
      <c r="L32" s="22"/>
      <c r="M32" s="301"/>
      <c r="X32" s="22"/>
    </row>
    <row r="33" spans="1:24" ht="17.25" customHeight="1">
      <c r="A33" s="257" t="s">
        <v>215</v>
      </c>
      <c r="B33" s="151" t="s">
        <v>216</v>
      </c>
      <c r="C33" s="156">
        <f>0.9*0.5*C19*0.4/C20/C8</f>
        <v>0.3272727272727274</v>
      </c>
      <c r="D33" s="157"/>
      <c r="E33" s="153" t="s">
        <v>57</v>
      </c>
      <c r="F33" s="1"/>
      <c r="G33" s="357" t="s">
        <v>54</v>
      </c>
      <c r="H33" s="358"/>
      <c r="I33" s="135" t="s">
        <v>55</v>
      </c>
      <c r="J33" s="288">
        <f>J32*C22</f>
        <v>10.699456050835156</v>
      </c>
      <c r="K33" s="144" t="s">
        <v>53</v>
      </c>
      <c r="L33" s="22"/>
      <c r="M33" s="301"/>
      <c r="X33" s="22"/>
    </row>
    <row r="34" spans="1:24" ht="17.25" customHeight="1" thickBot="1">
      <c r="A34" s="229" t="s">
        <v>217</v>
      </c>
      <c r="B34" s="146" t="s">
        <v>58</v>
      </c>
      <c r="C34" s="158">
        <f>(C12*C21/C20-3.2)/3.2</f>
        <v>6.425347222222221</v>
      </c>
      <c r="D34" s="148"/>
      <c r="E34" s="149"/>
      <c r="F34" s="1"/>
      <c r="G34" s="359" t="s">
        <v>59</v>
      </c>
      <c r="H34" s="360"/>
      <c r="I34" s="146" t="s">
        <v>60</v>
      </c>
      <c r="J34" s="289">
        <f>J32*C18/C16/C19</f>
        <v>0.23538062214861835</v>
      </c>
      <c r="K34" s="290" t="s">
        <v>234</v>
      </c>
      <c r="L34" s="22"/>
      <c r="M34" s="301"/>
      <c r="X34" s="22"/>
    </row>
    <row r="35" spans="1:24" ht="7.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2"/>
      <c r="M35" s="301"/>
      <c r="X35" s="22"/>
    </row>
    <row r="36" spans="1:24" ht="15.75">
      <c r="A36" s="377" t="s">
        <v>239</v>
      </c>
      <c r="B36" s="378"/>
      <c r="C36" s="378"/>
      <c r="D36" s="378"/>
      <c r="E36" s="379"/>
      <c r="F36" s="19"/>
      <c r="G36" s="386" t="s">
        <v>240</v>
      </c>
      <c r="H36" s="387"/>
      <c r="I36" s="387"/>
      <c r="J36" s="387"/>
      <c r="K36" s="388"/>
      <c r="L36" s="22"/>
      <c r="M36" s="301"/>
      <c r="X36" s="22"/>
    </row>
    <row r="37" spans="1:24" ht="15.75" customHeight="1">
      <c r="A37" s="380"/>
      <c r="B37" s="381"/>
      <c r="C37" s="381"/>
      <c r="D37" s="381"/>
      <c r="E37" s="382"/>
      <c r="F37" s="19"/>
      <c r="G37" s="389"/>
      <c r="H37" s="390"/>
      <c r="I37" s="390"/>
      <c r="J37" s="390"/>
      <c r="K37" s="391"/>
      <c r="L37" s="22"/>
      <c r="M37" s="301"/>
      <c r="X37" s="22"/>
    </row>
    <row r="38" spans="1:24" ht="15.75" customHeight="1">
      <c r="A38" s="380"/>
      <c r="B38" s="381"/>
      <c r="C38" s="381"/>
      <c r="D38" s="381"/>
      <c r="E38" s="382"/>
      <c r="F38" s="19"/>
      <c r="G38" s="389"/>
      <c r="H38" s="390"/>
      <c r="I38" s="390"/>
      <c r="J38" s="390"/>
      <c r="K38" s="391"/>
      <c r="L38" s="22"/>
      <c r="M38" s="301"/>
      <c r="X38" s="22"/>
    </row>
    <row r="39" spans="1:24" ht="15.75" customHeight="1">
      <c r="A39" s="380"/>
      <c r="B39" s="381"/>
      <c r="C39" s="381"/>
      <c r="D39" s="381"/>
      <c r="E39" s="382"/>
      <c r="F39" s="19"/>
      <c r="G39" s="389"/>
      <c r="H39" s="390"/>
      <c r="I39" s="390"/>
      <c r="J39" s="390"/>
      <c r="K39" s="391"/>
      <c r="L39" s="9"/>
      <c r="M39" s="300"/>
      <c r="X39" s="9"/>
    </row>
    <row r="40" spans="1:24" ht="15.75" customHeight="1">
      <c r="A40" s="380"/>
      <c r="B40" s="381"/>
      <c r="C40" s="381"/>
      <c r="D40" s="381"/>
      <c r="E40" s="382"/>
      <c r="F40" s="19"/>
      <c r="G40" s="389"/>
      <c r="H40" s="390"/>
      <c r="I40" s="390"/>
      <c r="J40" s="390"/>
      <c r="K40" s="391"/>
      <c r="L40" s="9"/>
      <c r="M40" s="300"/>
      <c r="X40" s="9"/>
    </row>
    <row r="41" spans="1:24" ht="15.75" customHeight="1">
      <c r="A41" s="380"/>
      <c r="B41" s="381"/>
      <c r="C41" s="381"/>
      <c r="D41" s="381"/>
      <c r="E41" s="382"/>
      <c r="F41" s="19"/>
      <c r="G41" s="389"/>
      <c r="H41" s="390"/>
      <c r="I41" s="390"/>
      <c r="J41" s="390"/>
      <c r="K41" s="391"/>
      <c r="L41" s="9"/>
      <c r="M41" s="300"/>
      <c r="X41" s="9"/>
    </row>
    <row r="42" spans="1:24" ht="15.75" customHeight="1">
      <c r="A42" s="380"/>
      <c r="B42" s="381"/>
      <c r="C42" s="381"/>
      <c r="D42" s="381"/>
      <c r="E42" s="382"/>
      <c r="F42" s="19"/>
      <c r="G42" s="389"/>
      <c r="H42" s="390"/>
      <c r="I42" s="390"/>
      <c r="J42" s="390"/>
      <c r="K42" s="391"/>
      <c r="L42" s="9"/>
      <c r="M42" s="300"/>
      <c r="X42" s="9"/>
    </row>
    <row r="43" spans="1:24" ht="29.25" customHeight="1" thickBot="1">
      <c r="A43" s="383"/>
      <c r="B43" s="384"/>
      <c r="C43" s="384"/>
      <c r="D43" s="384"/>
      <c r="E43" s="385"/>
      <c r="F43" s="19"/>
      <c r="G43" s="392"/>
      <c r="H43" s="393"/>
      <c r="I43" s="393"/>
      <c r="J43" s="393"/>
      <c r="K43" s="394"/>
      <c r="L43" s="9"/>
      <c r="M43" s="300"/>
      <c r="X43" s="9"/>
    </row>
    <row r="44" spans="1:24" ht="14.25" customHeight="1">
      <c r="A44" s="264"/>
      <c r="B44" s="265"/>
      <c r="C44" s="266"/>
      <c r="D44" s="266"/>
      <c r="E44" s="267"/>
      <c r="F44" s="268"/>
      <c r="G44" s="265"/>
      <c r="H44" s="265"/>
      <c r="I44" s="9"/>
      <c r="J44" s="269"/>
      <c r="K44" s="9"/>
      <c r="L44" s="9"/>
      <c r="M44" s="30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</sheetData>
  <sheetProtection password="8DE0" sheet="1"/>
  <mergeCells count="46">
    <mergeCell ref="U2:W2"/>
    <mergeCell ref="V9:V10"/>
    <mergeCell ref="T9:T10"/>
    <mergeCell ref="W9:W10"/>
    <mergeCell ref="N8:W8"/>
    <mergeCell ref="V3:V4"/>
    <mergeCell ref="N9:N10"/>
    <mergeCell ref="O9:O10"/>
    <mergeCell ref="P9:P10"/>
    <mergeCell ref="Q9:Q10"/>
    <mergeCell ref="R9:R10"/>
    <mergeCell ref="S9:S10"/>
    <mergeCell ref="U9:U10"/>
    <mergeCell ref="R3:R4"/>
    <mergeCell ref="S3:S4"/>
    <mergeCell ref="T3:T4"/>
    <mergeCell ref="U3:U4"/>
    <mergeCell ref="N7:W7"/>
    <mergeCell ref="W3:W4"/>
    <mergeCell ref="A36:E43"/>
    <mergeCell ref="G36:K43"/>
    <mergeCell ref="A3:G3"/>
    <mergeCell ref="N1:W1"/>
    <mergeCell ref="N2:T2"/>
    <mergeCell ref="N3:N4"/>
    <mergeCell ref="O3:O4"/>
    <mergeCell ref="P3:P4"/>
    <mergeCell ref="Q3:Q4"/>
    <mergeCell ref="G25:H25"/>
    <mergeCell ref="G24:K24"/>
    <mergeCell ref="J3:K3"/>
    <mergeCell ref="J4:K4"/>
    <mergeCell ref="J5:K5"/>
    <mergeCell ref="G15:H15"/>
    <mergeCell ref="G16:H16"/>
    <mergeCell ref="G18:H18"/>
    <mergeCell ref="J18:K18"/>
    <mergeCell ref="G32:H32"/>
    <mergeCell ref="G33:H33"/>
    <mergeCell ref="G34:H34"/>
    <mergeCell ref="G26:H26"/>
    <mergeCell ref="G27:H27"/>
    <mergeCell ref="G28:H28"/>
    <mergeCell ref="G29:H29"/>
    <mergeCell ref="G30:H30"/>
    <mergeCell ref="G31:H3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85" zoomScaleNormal="85" zoomScalePageLayoutView="0" workbookViewId="0" topLeftCell="A26">
      <selection activeCell="O14" sqref="O14"/>
    </sheetView>
  </sheetViews>
  <sheetFormatPr defaultColWidth="9.140625" defaultRowHeight="15"/>
  <sheetData>
    <row r="1" spans="1:12" ht="13.5">
      <c r="A1" s="426" t="s">
        <v>277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34" spans="1:12" ht="13.5">
      <c r="A34" s="426" t="s">
        <v>278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</row>
  </sheetData>
  <sheetProtection/>
  <mergeCells count="2">
    <mergeCell ref="A1:L1"/>
    <mergeCell ref="A34:L3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3">
      <selection activeCell="P29" sqref="P29"/>
    </sheetView>
  </sheetViews>
  <sheetFormatPr defaultColWidth="9.140625" defaultRowHeight="15"/>
  <cols>
    <col min="1" max="1" width="2.8515625" style="25" customWidth="1"/>
    <col min="2" max="16384" width="9.00390625" style="25" customWidth="1"/>
  </cols>
  <sheetData>
    <row r="1" ht="9.75" customHeight="1"/>
    <row r="2" spans="2:3" ht="20.25" customHeight="1">
      <c r="B2" s="180" t="s">
        <v>149</v>
      </c>
      <c r="C2" s="56"/>
    </row>
    <row r="3" spans="3:14" ht="14.25" thickBot="1">
      <c r="C3" s="181"/>
      <c r="D3" s="181"/>
      <c r="E3" s="181"/>
      <c r="F3" s="181"/>
      <c r="G3" s="181"/>
      <c r="H3" s="181"/>
      <c r="J3" s="182"/>
      <c r="K3" s="181"/>
      <c r="L3" s="181"/>
      <c r="M3" s="181"/>
      <c r="N3" s="181"/>
    </row>
    <row r="4" spans="2:14" ht="13.5">
      <c r="B4" s="429" t="s">
        <v>98</v>
      </c>
      <c r="C4" s="431" t="s">
        <v>99</v>
      </c>
      <c r="D4" s="428"/>
      <c r="E4" s="427" t="s">
        <v>99</v>
      </c>
      <c r="F4" s="428"/>
      <c r="G4" s="427" t="s">
        <v>99</v>
      </c>
      <c r="H4" s="428"/>
      <c r="I4" s="427" t="s">
        <v>99</v>
      </c>
      <c r="J4" s="428"/>
      <c r="K4" s="427" t="s">
        <v>99</v>
      </c>
      <c r="L4" s="428"/>
      <c r="M4" s="427" t="s">
        <v>99</v>
      </c>
      <c r="N4" s="428"/>
    </row>
    <row r="5" spans="2:14" ht="13.5">
      <c r="B5" s="430"/>
      <c r="C5" s="183" t="s">
        <v>100</v>
      </c>
      <c r="D5" s="184" t="s">
        <v>101</v>
      </c>
      <c r="E5" s="185" t="s">
        <v>100</v>
      </c>
      <c r="F5" s="184" t="s">
        <v>101</v>
      </c>
      <c r="G5" s="185" t="s">
        <v>100</v>
      </c>
      <c r="H5" s="184" t="s">
        <v>101</v>
      </c>
      <c r="I5" s="185" t="s">
        <v>100</v>
      </c>
      <c r="J5" s="184" t="s">
        <v>101</v>
      </c>
      <c r="K5" s="185" t="s">
        <v>100</v>
      </c>
      <c r="L5" s="184" t="s">
        <v>101</v>
      </c>
      <c r="M5" s="185" t="s">
        <v>100</v>
      </c>
      <c r="N5" s="184" t="s">
        <v>101</v>
      </c>
    </row>
    <row r="6" spans="2:14" ht="13.5">
      <c r="B6" s="186" t="s">
        <v>102</v>
      </c>
      <c r="C6" s="183" t="s">
        <v>103</v>
      </c>
      <c r="D6" s="187">
        <v>17</v>
      </c>
      <c r="E6" s="185" t="s">
        <v>104</v>
      </c>
      <c r="F6" s="187">
        <v>12.5</v>
      </c>
      <c r="G6" s="185"/>
      <c r="H6" s="188"/>
      <c r="I6" s="185"/>
      <c r="J6" s="188"/>
      <c r="K6" s="185"/>
      <c r="L6" s="188"/>
      <c r="M6" s="185"/>
      <c r="N6" s="188"/>
    </row>
    <row r="7" spans="2:14" ht="13.5">
      <c r="B7" s="186" t="s">
        <v>105</v>
      </c>
      <c r="C7" s="183" t="s">
        <v>103</v>
      </c>
      <c r="D7" s="187">
        <v>17</v>
      </c>
      <c r="E7" s="185" t="s">
        <v>106</v>
      </c>
      <c r="F7" s="187">
        <v>15</v>
      </c>
      <c r="G7" s="185"/>
      <c r="H7" s="188"/>
      <c r="I7" s="185"/>
      <c r="J7" s="188"/>
      <c r="K7" s="185"/>
      <c r="L7" s="188"/>
      <c r="M7" s="185"/>
      <c r="N7" s="188"/>
    </row>
    <row r="8" spans="2:14" ht="13.5">
      <c r="B8" s="186" t="s">
        <v>107</v>
      </c>
      <c r="C8" s="183" t="s">
        <v>108</v>
      </c>
      <c r="D8" s="187">
        <v>19.2</v>
      </c>
      <c r="E8" s="185" t="s">
        <v>109</v>
      </c>
      <c r="F8" s="188">
        <v>22.8</v>
      </c>
      <c r="G8" s="185" t="s">
        <v>110</v>
      </c>
      <c r="H8" s="187">
        <v>37</v>
      </c>
      <c r="I8" s="185"/>
      <c r="J8" s="188"/>
      <c r="K8" s="185"/>
      <c r="L8" s="188"/>
      <c r="M8" s="185"/>
      <c r="N8" s="188"/>
    </row>
    <row r="9" spans="2:14" ht="13.5">
      <c r="B9" s="186" t="s">
        <v>111</v>
      </c>
      <c r="C9" s="183" t="s">
        <v>108</v>
      </c>
      <c r="D9" s="187">
        <v>19.2</v>
      </c>
      <c r="E9" s="185" t="s">
        <v>109</v>
      </c>
      <c r="F9" s="188">
        <v>22.8</v>
      </c>
      <c r="G9" s="185" t="s">
        <v>110</v>
      </c>
      <c r="H9" s="187">
        <v>37</v>
      </c>
      <c r="I9" s="185"/>
      <c r="J9" s="188"/>
      <c r="K9" s="185"/>
      <c r="L9" s="188"/>
      <c r="M9" s="185"/>
      <c r="N9" s="188"/>
    </row>
    <row r="10" spans="2:14" ht="13.5">
      <c r="B10" s="186" t="s">
        <v>112</v>
      </c>
      <c r="C10" s="189" t="s">
        <v>113</v>
      </c>
      <c r="D10" s="187">
        <v>23</v>
      </c>
      <c r="E10" s="185" t="s">
        <v>114</v>
      </c>
      <c r="F10" s="188">
        <v>22.7</v>
      </c>
      <c r="G10" s="185" t="s">
        <v>110</v>
      </c>
      <c r="H10" s="187">
        <v>37</v>
      </c>
      <c r="I10" s="185"/>
      <c r="J10" s="188"/>
      <c r="K10" s="185"/>
      <c r="L10" s="188"/>
      <c r="M10" s="185"/>
      <c r="N10" s="188"/>
    </row>
    <row r="11" spans="2:14" ht="13.5">
      <c r="B11" s="186" t="s">
        <v>115</v>
      </c>
      <c r="C11" s="189" t="s">
        <v>113</v>
      </c>
      <c r="D11" s="187">
        <v>23</v>
      </c>
      <c r="E11" s="185" t="s">
        <v>114</v>
      </c>
      <c r="F11" s="188">
        <v>22.7</v>
      </c>
      <c r="G11" s="185" t="s">
        <v>116</v>
      </c>
      <c r="H11" s="187">
        <v>63</v>
      </c>
      <c r="I11" s="185"/>
      <c r="J11" s="188"/>
      <c r="K11" s="185"/>
      <c r="L11" s="188"/>
      <c r="M11" s="185"/>
      <c r="N11" s="188"/>
    </row>
    <row r="12" spans="2:14" ht="13.5">
      <c r="B12" s="186" t="s">
        <v>117</v>
      </c>
      <c r="C12" s="189" t="s">
        <v>113</v>
      </c>
      <c r="D12" s="187">
        <v>23</v>
      </c>
      <c r="E12" s="185" t="s">
        <v>114</v>
      </c>
      <c r="F12" s="188">
        <v>22.7</v>
      </c>
      <c r="G12" s="185" t="s">
        <v>116</v>
      </c>
      <c r="H12" s="187">
        <v>63</v>
      </c>
      <c r="I12" s="185"/>
      <c r="J12" s="188"/>
      <c r="K12" s="185"/>
      <c r="L12" s="188"/>
      <c r="M12" s="185"/>
      <c r="N12" s="188"/>
    </row>
    <row r="13" spans="2:14" ht="13.5">
      <c r="B13" s="186" t="s">
        <v>118</v>
      </c>
      <c r="C13" s="189" t="s">
        <v>119</v>
      </c>
      <c r="D13" s="187">
        <v>31</v>
      </c>
      <c r="E13" s="185" t="s">
        <v>120</v>
      </c>
      <c r="F13" s="187">
        <v>31</v>
      </c>
      <c r="G13" s="190" t="s">
        <v>274</v>
      </c>
      <c r="H13" s="187">
        <v>41.3</v>
      </c>
      <c r="I13" s="185" t="s">
        <v>122</v>
      </c>
      <c r="J13" s="188">
        <v>62</v>
      </c>
      <c r="K13" s="185" t="s">
        <v>123</v>
      </c>
      <c r="L13" s="188">
        <v>96.6</v>
      </c>
      <c r="M13" s="185"/>
      <c r="N13" s="188"/>
    </row>
    <row r="14" spans="2:14" ht="13.5">
      <c r="B14" s="186" t="s">
        <v>124</v>
      </c>
      <c r="C14" s="189" t="s">
        <v>119</v>
      </c>
      <c r="D14" s="187">
        <v>31</v>
      </c>
      <c r="E14" s="185" t="s">
        <v>125</v>
      </c>
      <c r="F14" s="187">
        <v>31</v>
      </c>
      <c r="G14" s="185" t="s">
        <v>121</v>
      </c>
      <c r="H14" s="187">
        <v>41.3</v>
      </c>
      <c r="I14" s="185" t="s">
        <v>122</v>
      </c>
      <c r="J14" s="188">
        <v>62</v>
      </c>
      <c r="K14" s="185" t="s">
        <v>123</v>
      </c>
      <c r="L14" s="188">
        <v>96.6</v>
      </c>
      <c r="M14" s="185"/>
      <c r="N14" s="188"/>
    </row>
    <row r="15" spans="2:14" ht="13.5">
      <c r="B15" s="186" t="s">
        <v>126</v>
      </c>
      <c r="C15" s="183" t="s">
        <v>127</v>
      </c>
      <c r="D15" s="187">
        <v>41</v>
      </c>
      <c r="E15" s="185" t="s">
        <v>128</v>
      </c>
      <c r="F15" s="188">
        <v>46.4</v>
      </c>
      <c r="G15" s="185" t="s">
        <v>121</v>
      </c>
      <c r="H15" s="187">
        <v>41.3</v>
      </c>
      <c r="I15" s="185" t="s">
        <v>122</v>
      </c>
      <c r="J15" s="188">
        <v>62</v>
      </c>
      <c r="K15" s="185" t="s">
        <v>129</v>
      </c>
      <c r="L15" s="188">
        <v>52.8</v>
      </c>
      <c r="M15" s="185" t="s">
        <v>130</v>
      </c>
      <c r="N15" s="188">
        <v>65</v>
      </c>
    </row>
    <row r="16" spans="2:14" ht="13.5">
      <c r="B16" s="186" t="s">
        <v>131</v>
      </c>
      <c r="C16" s="183" t="s">
        <v>132</v>
      </c>
      <c r="D16" s="187">
        <v>42</v>
      </c>
      <c r="E16" s="185" t="s">
        <v>128</v>
      </c>
      <c r="F16" s="188">
        <v>46.4</v>
      </c>
      <c r="G16" s="185" t="s">
        <v>133</v>
      </c>
      <c r="H16" s="187">
        <v>56.3</v>
      </c>
      <c r="I16" s="185" t="s">
        <v>134</v>
      </c>
      <c r="J16" s="188">
        <v>62</v>
      </c>
      <c r="K16" s="185" t="s">
        <v>129</v>
      </c>
      <c r="L16" s="188">
        <v>52.8</v>
      </c>
      <c r="M16" s="185" t="s">
        <v>130</v>
      </c>
      <c r="N16" s="188">
        <v>65</v>
      </c>
    </row>
    <row r="17" spans="2:14" ht="13.5">
      <c r="B17" s="186" t="s">
        <v>135</v>
      </c>
      <c r="C17" s="183" t="s">
        <v>132</v>
      </c>
      <c r="D17" s="187">
        <v>42</v>
      </c>
      <c r="E17" s="185" t="s">
        <v>128</v>
      </c>
      <c r="F17" s="188">
        <v>46.4</v>
      </c>
      <c r="G17" s="185" t="s">
        <v>133</v>
      </c>
      <c r="H17" s="187">
        <v>56.3</v>
      </c>
      <c r="I17" s="185" t="s">
        <v>134</v>
      </c>
      <c r="J17" s="188">
        <v>62</v>
      </c>
      <c r="K17" s="185" t="s">
        <v>136</v>
      </c>
      <c r="L17" s="188">
        <v>52.8</v>
      </c>
      <c r="M17" s="185" t="s">
        <v>130</v>
      </c>
      <c r="N17" s="188">
        <v>65</v>
      </c>
    </row>
    <row r="18" spans="2:14" ht="13.5">
      <c r="B18" s="186" t="s">
        <v>137</v>
      </c>
      <c r="C18" s="189"/>
      <c r="D18" s="187"/>
      <c r="E18" s="190"/>
      <c r="F18" s="188"/>
      <c r="G18" s="185" t="s">
        <v>133</v>
      </c>
      <c r="H18" s="187">
        <v>56.3</v>
      </c>
      <c r="I18" s="185" t="s">
        <v>138</v>
      </c>
      <c r="J18" s="188">
        <v>119</v>
      </c>
      <c r="K18" s="185" t="s">
        <v>146</v>
      </c>
      <c r="L18" s="188">
        <v>67.6</v>
      </c>
      <c r="M18" s="185" t="s">
        <v>146</v>
      </c>
      <c r="N18" s="188">
        <v>67.6</v>
      </c>
    </row>
    <row r="19" spans="2:14" ht="14.25" thickBot="1">
      <c r="B19" s="191" t="s">
        <v>139</v>
      </c>
      <c r="C19" s="192"/>
      <c r="D19" s="193"/>
      <c r="E19" s="194"/>
      <c r="F19" s="195"/>
      <c r="G19" s="196" t="s">
        <v>133</v>
      </c>
      <c r="H19" s="193">
        <v>56.3</v>
      </c>
      <c r="I19" s="196" t="s">
        <v>138</v>
      </c>
      <c r="J19" s="195">
        <v>119</v>
      </c>
      <c r="K19" s="194" t="s">
        <v>148</v>
      </c>
      <c r="L19" s="193">
        <v>104</v>
      </c>
      <c r="M19" s="194" t="s">
        <v>148</v>
      </c>
      <c r="N19" s="193">
        <v>104</v>
      </c>
    </row>
    <row r="21" ht="14.25" thickBot="1"/>
    <row r="22" spans="2:5" ht="13.5">
      <c r="B22" s="318" t="s">
        <v>100</v>
      </c>
      <c r="C22" s="325" t="s">
        <v>101</v>
      </c>
      <c r="D22" s="326" t="s">
        <v>140</v>
      </c>
      <c r="E22" s="327" t="s">
        <v>141</v>
      </c>
    </row>
    <row r="23" spans="2:5" ht="14.25" customHeight="1">
      <c r="B23" s="185" t="s">
        <v>104</v>
      </c>
      <c r="C23" s="197">
        <v>12.5</v>
      </c>
      <c r="D23" s="197">
        <v>6.8</v>
      </c>
      <c r="E23" s="328">
        <v>1.65</v>
      </c>
    </row>
    <row r="24" spans="2:5" ht="12.75" customHeight="1" thickBot="1">
      <c r="B24" s="185" t="s">
        <v>114</v>
      </c>
      <c r="C24" s="197">
        <v>22.7</v>
      </c>
      <c r="D24" s="197">
        <v>12.8</v>
      </c>
      <c r="E24" s="328">
        <v>2.5</v>
      </c>
    </row>
    <row r="25" spans="2:14" ht="13.5">
      <c r="B25" s="185" t="s">
        <v>108</v>
      </c>
      <c r="C25" s="197">
        <v>19.2</v>
      </c>
      <c r="D25" s="197">
        <v>8.4</v>
      </c>
      <c r="E25" s="328">
        <v>2.8</v>
      </c>
      <c r="H25" s="198"/>
      <c r="I25" s="30"/>
      <c r="J25" s="30"/>
      <c r="K25" s="30"/>
      <c r="L25" s="30"/>
      <c r="M25" s="30"/>
      <c r="N25" s="32"/>
    </row>
    <row r="26" spans="2:14" ht="15">
      <c r="B26" s="190" t="s">
        <v>113</v>
      </c>
      <c r="C26" s="197">
        <v>23</v>
      </c>
      <c r="D26" s="197">
        <v>9</v>
      </c>
      <c r="E26" s="329">
        <v>3.7</v>
      </c>
      <c r="H26" s="200" t="s">
        <v>142</v>
      </c>
      <c r="I26" s="201"/>
      <c r="J26" s="201"/>
      <c r="K26" s="201"/>
      <c r="L26" s="201"/>
      <c r="M26" s="201"/>
      <c r="N26" s="35"/>
    </row>
    <row r="27" spans="2:14" ht="15">
      <c r="B27" s="185" t="s">
        <v>127</v>
      </c>
      <c r="C27" s="197">
        <v>41</v>
      </c>
      <c r="D27" s="199">
        <v>8.45</v>
      </c>
      <c r="E27" s="330" t="s">
        <v>143</v>
      </c>
      <c r="H27" s="200"/>
      <c r="I27" s="201"/>
      <c r="J27" s="201"/>
      <c r="K27" s="201"/>
      <c r="L27" s="201"/>
      <c r="M27" s="201"/>
      <c r="N27" s="35"/>
    </row>
    <row r="28" spans="2:14" ht="15">
      <c r="B28" s="185" t="s">
        <v>132</v>
      </c>
      <c r="C28" s="197">
        <v>42</v>
      </c>
      <c r="D28" s="199">
        <v>9.8</v>
      </c>
      <c r="E28" s="329">
        <v>4.5</v>
      </c>
      <c r="H28" s="200" t="s">
        <v>144</v>
      </c>
      <c r="I28" s="201"/>
      <c r="J28" s="201"/>
      <c r="K28" s="201"/>
      <c r="L28" s="201"/>
      <c r="M28" s="201"/>
      <c r="N28" s="35"/>
    </row>
    <row r="29" spans="2:14" ht="15">
      <c r="B29" s="185" t="s">
        <v>121</v>
      </c>
      <c r="C29" s="197">
        <v>41.3</v>
      </c>
      <c r="D29" s="199">
        <v>16</v>
      </c>
      <c r="E29" s="329">
        <v>2.1</v>
      </c>
      <c r="H29" s="200"/>
      <c r="I29" s="201"/>
      <c r="J29" s="201"/>
      <c r="K29" s="201"/>
      <c r="L29" s="201"/>
      <c r="M29" s="201"/>
      <c r="N29" s="35"/>
    </row>
    <row r="30" spans="2:14" ht="15">
      <c r="B30" s="185" t="s">
        <v>133</v>
      </c>
      <c r="C30" s="197">
        <v>56.3</v>
      </c>
      <c r="D30" s="199">
        <v>17.2</v>
      </c>
      <c r="E30" s="329">
        <v>3.3</v>
      </c>
      <c r="H30" s="200" t="s">
        <v>147</v>
      </c>
      <c r="I30" s="34"/>
      <c r="J30" s="34"/>
      <c r="K30" s="34"/>
      <c r="L30" s="34"/>
      <c r="M30" s="34"/>
      <c r="N30" s="35"/>
    </row>
    <row r="31" spans="2:14" ht="13.5">
      <c r="B31" s="185" t="s">
        <v>110</v>
      </c>
      <c r="C31" s="197">
        <v>37</v>
      </c>
      <c r="D31" s="199">
        <v>2.4</v>
      </c>
      <c r="E31" s="329">
        <v>6.4</v>
      </c>
      <c r="H31" s="38"/>
      <c r="I31" s="34"/>
      <c r="J31" s="34"/>
      <c r="K31" s="34"/>
      <c r="L31" s="34"/>
      <c r="M31" s="34"/>
      <c r="N31" s="35"/>
    </row>
    <row r="32" spans="2:14" ht="15">
      <c r="B32" s="185" t="s">
        <v>116</v>
      </c>
      <c r="C32" s="197">
        <v>63</v>
      </c>
      <c r="D32" s="199">
        <v>3.5</v>
      </c>
      <c r="E32" s="329">
        <v>9.15</v>
      </c>
      <c r="H32" s="200" t="s">
        <v>275</v>
      </c>
      <c r="I32" s="34"/>
      <c r="J32" s="34"/>
      <c r="K32" s="34"/>
      <c r="L32" s="34"/>
      <c r="M32" s="34"/>
      <c r="N32" s="35"/>
    </row>
    <row r="33" spans="2:14" ht="14.25" thickBot="1">
      <c r="B33" s="185" t="s">
        <v>123</v>
      </c>
      <c r="C33" s="197">
        <v>96.6</v>
      </c>
      <c r="D33" s="199">
        <v>4.2</v>
      </c>
      <c r="E33" s="329">
        <v>10.75</v>
      </c>
      <c r="H33" s="202"/>
      <c r="I33" s="203"/>
      <c r="J33" s="203"/>
      <c r="K33" s="203"/>
      <c r="L33" s="203"/>
      <c r="M33" s="203"/>
      <c r="N33" s="204"/>
    </row>
    <row r="34" spans="2:5" ht="13.5">
      <c r="B34" s="185" t="s">
        <v>122</v>
      </c>
      <c r="C34" s="197">
        <v>62</v>
      </c>
      <c r="D34" s="199">
        <v>3.1</v>
      </c>
      <c r="E34" s="329">
        <v>8</v>
      </c>
    </row>
    <row r="35" spans="2:5" ht="14.25" thickBot="1">
      <c r="B35" s="185" t="s">
        <v>134</v>
      </c>
      <c r="C35" s="197">
        <v>62</v>
      </c>
      <c r="D35" s="199">
        <v>3.1</v>
      </c>
      <c r="E35" s="329">
        <v>12</v>
      </c>
    </row>
    <row r="36" spans="2:14" ht="13.5">
      <c r="B36" s="185" t="s">
        <v>138</v>
      </c>
      <c r="C36" s="199">
        <v>119</v>
      </c>
      <c r="D36" s="199">
        <v>3.6</v>
      </c>
      <c r="E36" s="329">
        <v>9.2</v>
      </c>
      <c r="H36" s="319"/>
      <c r="I36" s="320"/>
      <c r="J36" s="320"/>
      <c r="K36" s="320"/>
      <c r="L36" s="320"/>
      <c r="M36" s="320"/>
      <c r="N36" s="321"/>
    </row>
    <row r="37" spans="2:14" ht="14.25">
      <c r="B37" s="185" t="s">
        <v>145</v>
      </c>
      <c r="C37" s="199">
        <v>118</v>
      </c>
      <c r="D37" s="199">
        <v>3.6</v>
      </c>
      <c r="E37" s="329">
        <v>13.9</v>
      </c>
      <c r="H37" s="335" t="s">
        <v>279</v>
      </c>
      <c r="I37" s="336"/>
      <c r="J37" s="336"/>
      <c r="K37" s="336"/>
      <c r="L37" s="336"/>
      <c r="M37" s="336"/>
      <c r="N37" s="337"/>
    </row>
    <row r="38" spans="2:14" ht="14.25">
      <c r="B38" s="185" t="s">
        <v>129</v>
      </c>
      <c r="C38" s="197">
        <v>52.8</v>
      </c>
      <c r="D38" s="199">
        <v>4.3</v>
      </c>
      <c r="E38" s="329">
        <v>4</v>
      </c>
      <c r="H38" s="335" t="s">
        <v>280</v>
      </c>
      <c r="I38" s="336"/>
      <c r="J38" s="336"/>
      <c r="K38" s="336"/>
      <c r="L38" s="336"/>
      <c r="M38" s="336"/>
      <c r="N38" s="337"/>
    </row>
    <row r="39" spans="2:14" ht="14.25">
      <c r="B39" s="185" t="s">
        <v>130</v>
      </c>
      <c r="C39" s="197">
        <v>65</v>
      </c>
      <c r="D39" s="199">
        <v>5.2</v>
      </c>
      <c r="E39" s="329">
        <v>2.2</v>
      </c>
      <c r="H39" s="335" t="s">
        <v>276</v>
      </c>
      <c r="I39" s="336"/>
      <c r="J39" s="336"/>
      <c r="K39" s="336"/>
      <c r="L39" s="336"/>
      <c r="M39" s="336"/>
      <c r="N39" s="337"/>
    </row>
    <row r="40" spans="2:14" ht="14.25" thickBot="1">
      <c r="B40" s="185" t="s">
        <v>146</v>
      </c>
      <c r="C40" s="197">
        <v>67.6</v>
      </c>
      <c r="D40" s="205">
        <v>3.4</v>
      </c>
      <c r="E40" s="331">
        <v>3.7</v>
      </c>
      <c r="H40" s="322"/>
      <c r="I40" s="323"/>
      <c r="J40" s="323"/>
      <c r="K40" s="323"/>
      <c r="L40" s="323"/>
      <c r="M40" s="323"/>
      <c r="N40" s="324"/>
    </row>
    <row r="41" spans="2:5" ht="14.25" thickBot="1">
      <c r="B41" s="194" t="s">
        <v>148</v>
      </c>
      <c r="C41" s="332">
        <v>104</v>
      </c>
      <c r="D41" s="333">
        <v>3.4</v>
      </c>
      <c r="E41" s="334">
        <v>3.7</v>
      </c>
    </row>
  </sheetData>
  <sheetProtection password="EFE0" sheet="1" objects="1" scenarios="1"/>
  <mergeCells count="7">
    <mergeCell ref="M4:N4"/>
    <mergeCell ref="B4:B5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MAXIC.LTD.CO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Dell_12</dc:creator>
  <cp:keywords/>
  <dc:description/>
  <cp:lastModifiedBy>china</cp:lastModifiedBy>
  <cp:lastPrinted>2012-09-22T12:53:00Z</cp:lastPrinted>
  <dcterms:created xsi:type="dcterms:W3CDTF">2011-09-06T10:25:15Z</dcterms:created>
  <dcterms:modified xsi:type="dcterms:W3CDTF">2017-01-18T04:57:13Z</dcterms:modified>
  <cp:category/>
  <cp:version/>
  <cp:contentType/>
  <cp:contentStatus/>
</cp:coreProperties>
</file>