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1"/>
  </bookViews>
  <sheets>
    <sheet name="设计指南（原版）" sheetId="4" r:id="rId1"/>
    <sheet name="设计指南（设计用）" sheetId="5" r:id="rId2"/>
  </sheets>
  <calcPr calcId="145621"/>
</workbook>
</file>

<file path=xl/calcChain.xml><?xml version="1.0" encoding="utf-8"?>
<calcChain xmlns="http://schemas.openxmlformats.org/spreadsheetml/2006/main">
  <c r="E132" i="5" l="1"/>
  <c r="E6" i="5" l="1"/>
  <c r="E166" i="5"/>
  <c r="E165" i="5"/>
  <c r="E155" i="5"/>
  <c r="E145" i="5"/>
  <c r="E133" i="5"/>
  <c r="E127" i="5"/>
  <c r="E85" i="5"/>
  <c r="E86" i="5" s="1"/>
  <c r="E83" i="5"/>
  <c r="E77" i="5"/>
  <c r="E69" i="5"/>
  <c r="E61" i="5"/>
  <c r="E60" i="5"/>
  <c r="E55" i="5"/>
  <c r="E52" i="5"/>
  <c r="E45" i="5"/>
  <c r="E44" i="5"/>
  <c r="E39" i="5"/>
  <c r="E38" i="5"/>
  <c r="E37" i="5"/>
  <c r="E35" i="5"/>
  <c r="E26" i="5"/>
  <c r="E123" i="5"/>
  <c r="E7" i="5"/>
  <c r="E125" i="5" s="1"/>
  <c r="E5" i="5"/>
  <c r="E147" i="4"/>
  <c r="E145" i="4"/>
  <c r="E127" i="4"/>
  <c r="E155" i="4"/>
  <c r="E56" i="5" l="1"/>
  <c r="E19" i="5"/>
  <c r="E143" i="5" s="1"/>
  <c r="E135" i="5"/>
  <c r="E107" i="5"/>
  <c r="E18" i="5"/>
  <c r="E134" i="5"/>
  <c r="E17" i="5"/>
  <c r="E104" i="5" s="1"/>
  <c r="E105" i="5" s="1"/>
  <c r="E58" i="5"/>
  <c r="E65" i="5"/>
  <c r="E72" i="5"/>
  <c r="E147" i="5"/>
  <c r="E166" i="4"/>
  <c r="E165" i="4"/>
  <c r="E133" i="4"/>
  <c r="E26" i="4"/>
  <c r="E85" i="4"/>
  <c r="E86" i="4" s="1"/>
  <c r="E83" i="4"/>
  <c r="E77" i="4"/>
  <c r="E69" i="4"/>
  <c r="E61" i="4"/>
  <c r="E60" i="4"/>
  <c r="E153" i="5" l="1"/>
  <c r="E64" i="5"/>
  <c r="E108" i="5"/>
  <c r="E29" i="5"/>
  <c r="E53" i="5" s="1"/>
  <c r="E157" i="5"/>
  <c r="E34" i="5"/>
  <c r="E20" i="5"/>
  <c r="E72" i="4"/>
  <c r="E58" i="4"/>
  <c r="E65" i="4"/>
  <c r="E55" i="4"/>
  <c r="E56" i="4" s="1"/>
  <c r="E52" i="4"/>
  <c r="E45" i="4"/>
  <c r="E44" i="4"/>
  <c r="E38" i="4"/>
  <c r="E39" i="4"/>
  <c r="E37" i="4"/>
  <c r="E35" i="4"/>
  <c r="E13" i="4"/>
  <c r="E123" i="4" s="1"/>
  <c r="E7" i="4"/>
  <c r="E11" i="4" s="1"/>
  <c r="E125" i="4" s="1"/>
  <c r="E5" i="4"/>
  <c r="E6" i="4" s="1"/>
  <c r="E30" i="5" l="1"/>
  <c r="E43" i="5" s="1"/>
  <c r="E54" i="5" s="1"/>
  <c r="E74" i="5"/>
  <c r="E75" i="5" s="1"/>
  <c r="E68" i="5"/>
  <c r="E70" i="5" s="1"/>
  <c r="E134" i="4"/>
  <c r="E132" i="4"/>
  <c r="E107" i="4"/>
  <c r="E135" i="4"/>
  <c r="E17" i="4"/>
  <c r="E104" i="4" s="1"/>
  <c r="E19" i="4"/>
  <c r="E157" i="4" s="1"/>
  <c r="E18" i="4"/>
  <c r="E108" i="4" l="1"/>
  <c r="E143" i="4"/>
  <c r="E153" i="4"/>
  <c r="E105" i="4"/>
  <c r="E64" i="4"/>
  <c r="E34" i="4"/>
  <c r="E20" i="4"/>
  <c r="E29" i="4"/>
  <c r="E30" i="4" l="1"/>
  <c r="E43" i="4" s="1"/>
  <c r="E53" i="4"/>
  <c r="E74" i="4"/>
  <c r="E75" i="4" s="1"/>
  <c r="E68" i="4"/>
  <c r="E70" i="4" s="1"/>
  <c r="E54" i="4" l="1"/>
</calcChain>
</file>

<file path=xl/sharedStrings.xml><?xml version="1.0" encoding="utf-8"?>
<sst xmlns="http://schemas.openxmlformats.org/spreadsheetml/2006/main" count="1142" uniqueCount="379">
  <si>
    <t>V</t>
    <phoneticPr fontId="2" type="noConversion"/>
  </si>
  <si>
    <t>Ω</t>
    <phoneticPr fontId="2" type="noConversion"/>
  </si>
  <si>
    <t>A</t>
    <phoneticPr fontId="2" type="noConversion"/>
  </si>
  <si>
    <t>mA</t>
    <phoneticPr fontId="2" type="noConversion"/>
  </si>
  <si>
    <t>/</t>
    <phoneticPr fontId="2" type="noConversion"/>
  </si>
  <si>
    <t>Parameter</t>
    <phoneticPr fontId="2" type="noConversion"/>
  </si>
  <si>
    <t>Description</t>
    <phoneticPr fontId="2" type="noConversion"/>
  </si>
  <si>
    <t>Definition</t>
    <phoneticPr fontId="2" type="noConversion"/>
  </si>
  <si>
    <t>Value/Part#</t>
    <phoneticPr fontId="2" type="noConversion"/>
  </si>
  <si>
    <t>item</t>
    <phoneticPr fontId="2" type="noConversion"/>
  </si>
  <si>
    <t>V</t>
    <phoneticPr fontId="2" type="noConversion"/>
  </si>
  <si>
    <t>NC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</si>
  <si>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C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</si>
  <si>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C,MAX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</si>
  <si>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C,MIN</t>
    </r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</si>
  <si>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BULK</t>
    </r>
    <phoneticPr fontId="2" type="noConversion"/>
  </si>
  <si>
    <t>TC</t>
    <phoneticPr fontId="2" type="noConversion"/>
  </si>
  <si>
    <r>
      <t>T</t>
    </r>
    <r>
      <rPr>
        <sz val="9"/>
        <color theme="1"/>
        <rFont val="宋体"/>
        <family val="3"/>
        <charset val="134"/>
        <scheme val="minor"/>
      </rPr>
      <t>MIN</t>
    </r>
    <phoneticPr fontId="2" type="noConversion"/>
  </si>
  <si>
    <r>
      <t>T</t>
    </r>
    <r>
      <rPr>
        <sz val="9"/>
        <color theme="1"/>
        <rFont val="宋体"/>
        <family val="3"/>
        <charset val="134"/>
        <scheme val="minor"/>
      </rPr>
      <t>MAX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</si>
  <si>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BAT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</si>
  <si>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BAT,MIN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</si>
  <si>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BAT,MAX</t>
    </r>
    <phoneticPr fontId="2" type="noConversion"/>
  </si>
  <si>
    <r>
      <t>P</t>
    </r>
    <r>
      <rPr>
        <sz val="9"/>
        <color theme="1"/>
        <rFont val="宋体"/>
        <family val="3"/>
        <charset val="134"/>
        <scheme val="minor"/>
      </rPr>
      <t>CH,MAX</t>
    </r>
    <phoneticPr fontId="2" type="noConversion"/>
  </si>
  <si>
    <t>Nominal Battery Voltage</t>
    <phoneticPr fontId="2" type="noConversion"/>
  </si>
  <si>
    <t>Number Of Cells</t>
    <phoneticPr fontId="2" type="noConversion"/>
  </si>
  <si>
    <t>connected in series within the battery</t>
    <phoneticPr fontId="2" type="noConversion"/>
  </si>
  <si>
    <t>use C/10 capacity;
from battery datasheet</t>
    <phoneticPr fontId="2" type="noConversion"/>
  </si>
  <si>
    <t>Cell Float Voltage</t>
    <phoneticPr fontId="2" type="noConversion"/>
  </si>
  <si>
    <t>25°C, fully charged;
from battery datasheet</t>
    <phoneticPr fontId="2" type="noConversion"/>
  </si>
  <si>
    <t>Maximum Cell Voltage</t>
    <phoneticPr fontId="2" type="noConversion"/>
  </si>
  <si>
    <t>25°C, over-charge limit;
from battery datasheet</t>
    <phoneticPr fontId="2" type="noConversion"/>
  </si>
  <si>
    <t>Minimum Cell Voltage</t>
    <phoneticPr fontId="2" type="noConversion"/>
  </si>
  <si>
    <t>25°C, fully discharged;
from battery datasheet</t>
    <phoneticPr fontId="2" type="noConversion"/>
  </si>
  <si>
    <t>Trickle Charge
Current Limit</t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</si>
  <si>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TRICKLE</t>
    </r>
    <phoneticPr fontId="2" type="noConversion"/>
  </si>
  <si>
    <r>
      <t>C</t>
    </r>
    <r>
      <rPr>
        <sz val="9"/>
        <color theme="1"/>
        <rFont val="宋体"/>
        <family val="3"/>
        <charset val="134"/>
        <scheme val="minor"/>
      </rPr>
      <t>RATE</t>
    </r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</si>
  <si>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TRICKLE</t>
    </r>
    <r>
      <rPr>
        <sz val="11"/>
        <color theme="1"/>
        <rFont val="宋体"/>
        <family val="2"/>
        <scheme val="minor"/>
      </rPr>
      <t>=0.01*C</t>
    </r>
    <r>
      <rPr>
        <sz val="9"/>
        <color theme="1"/>
        <rFont val="宋体"/>
        <family val="3"/>
        <charset val="134"/>
        <scheme val="minor"/>
      </rPr>
      <t>RATE</t>
    </r>
    <r>
      <rPr>
        <sz val="11"/>
        <color theme="1"/>
        <rFont val="宋体"/>
        <family val="2"/>
        <scheme val="minor"/>
      </rPr>
      <t>;
typical or use battery datasheet</t>
    </r>
    <phoneticPr fontId="2" type="noConversion"/>
  </si>
  <si>
    <t>unit</t>
    <phoneticPr fontId="2" type="noConversion"/>
  </si>
  <si>
    <t>Ah</t>
    <phoneticPr fontId="2" type="noConversion"/>
  </si>
  <si>
    <t xml:space="preserve"> Battery Data</t>
    <phoneticPr fontId="2" type="noConversion"/>
  </si>
  <si>
    <t>mA</t>
    <phoneticPr fontId="2" type="noConversion"/>
  </si>
  <si>
    <t>Bulk Charge
Current Limit</t>
    <phoneticPr fontId="2" type="noConversion"/>
  </si>
  <si>
    <t>A</t>
    <phoneticPr fontId="2" type="noConversion"/>
  </si>
  <si>
    <t>Over-Charge Terminate
Current Threshold</t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</si>
  <si>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TRICKLE</t>
    </r>
    <r>
      <rPr>
        <sz val="11"/>
        <color theme="1"/>
        <rFont val="宋体"/>
        <family val="2"/>
        <scheme val="minor"/>
      </rPr>
      <t>=0.5*CRATE;
typical or use battery datasheet</t>
    </r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</si>
  <si>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OCT</t>
    </r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</si>
  <si>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OCT</t>
    </r>
    <r>
      <rPr>
        <sz val="11"/>
        <color theme="1"/>
        <rFont val="宋体"/>
        <family val="3"/>
        <charset val="134"/>
        <scheme val="minor"/>
      </rPr>
      <t>=0.25*I</t>
    </r>
    <r>
      <rPr>
        <sz val="9"/>
        <color theme="1"/>
        <rFont val="宋体"/>
        <family val="3"/>
        <charset val="134"/>
        <scheme val="minor"/>
      </rPr>
      <t>bulk</t>
    </r>
    <r>
      <rPr>
        <sz val="11"/>
        <color theme="1"/>
        <rFont val="宋体"/>
        <family val="2"/>
        <scheme val="minor"/>
      </rPr>
      <t>;
typical or use battery datasheet</t>
    </r>
    <phoneticPr fontId="2" type="noConversion"/>
  </si>
  <si>
    <t>Cell Voltage Temperature
Coefficient</t>
    <phoneticPr fontId="2" type="noConversion"/>
  </si>
  <si>
    <t>typical value; the thermistor linearizer circuit is
calibrated for this temperature coefficient</t>
    <phoneticPr fontId="2" type="noConversion"/>
  </si>
  <si>
    <t>mV/℃</t>
    <phoneticPr fontId="2" type="noConversion"/>
  </si>
  <si>
    <t>Minimum Operating
Battery Temperature</t>
    <phoneticPr fontId="2" type="noConversion"/>
  </si>
  <si>
    <t>Maximum Operating
Battery Temperature</t>
    <phoneticPr fontId="2" type="noConversion"/>
  </si>
  <si>
    <t>Battery Float Voltage</t>
    <phoneticPr fontId="2" type="noConversion"/>
  </si>
  <si>
    <t>Minimum Battery Voltage</t>
    <phoneticPr fontId="2" type="noConversion"/>
  </si>
  <si>
    <t>Maximum Battery Voltage</t>
    <phoneticPr fontId="2" type="noConversion"/>
  </si>
  <si>
    <t>Maximum Output Power</t>
    <phoneticPr fontId="2" type="noConversion"/>
  </si>
  <si>
    <t>refer to your application requirements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</si>
  <si>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BAT</t>
    </r>
    <r>
      <rPr>
        <sz val="11"/>
        <color theme="1"/>
        <rFont val="宋体"/>
        <family val="3"/>
        <charset val="134"/>
        <scheme val="minor"/>
      </rPr>
      <t>=Vc*NC</t>
    </r>
    <r>
      <rPr>
        <sz val="11"/>
        <color theme="1"/>
        <rFont val="宋体"/>
        <family val="2"/>
        <scheme val="minor"/>
      </rPr>
      <t>;
nominal, @ 25°C battery temperature</t>
    </r>
    <phoneticPr fontId="2" type="noConversion"/>
  </si>
  <si>
    <t>℃</t>
    <phoneticPr fontId="2" type="noConversion"/>
  </si>
  <si>
    <r>
      <t>P</t>
    </r>
    <r>
      <rPr>
        <sz val="9"/>
        <color theme="1"/>
        <rFont val="宋体"/>
        <family val="3"/>
        <charset val="134"/>
        <scheme val="minor"/>
      </rPr>
      <t>CH,MAX</t>
    </r>
    <r>
      <rPr>
        <sz val="11"/>
        <color theme="1"/>
        <rFont val="宋体"/>
        <family val="3"/>
        <charset val="134"/>
        <scheme val="minor"/>
      </rPr>
      <t>=I</t>
    </r>
    <r>
      <rPr>
        <sz val="9"/>
        <color theme="1"/>
        <rFont val="宋体"/>
        <family val="3"/>
        <charset val="134"/>
        <scheme val="minor"/>
      </rPr>
      <t>BULK</t>
    </r>
    <r>
      <rPr>
        <sz val="11"/>
        <color theme="1"/>
        <rFont val="宋体"/>
        <family val="3"/>
        <charset val="134"/>
        <scheme val="minor"/>
      </rPr>
      <t>*V</t>
    </r>
    <r>
      <rPr>
        <sz val="9"/>
        <color theme="1"/>
        <rFont val="宋体"/>
        <family val="3"/>
        <charset val="134"/>
        <scheme val="minor"/>
      </rPr>
      <t>BAT,MAX</t>
    </r>
    <phoneticPr fontId="2" type="noConversion"/>
  </si>
  <si>
    <t>W</t>
    <phoneticPr fontId="2" type="noConversion"/>
  </si>
  <si>
    <t xml:space="preserve"> Buck Converter Operating Parameters</t>
    <phoneticPr fontId="2" type="noConversion"/>
  </si>
  <si>
    <t>Minimum Input Voltage</t>
    <phoneticPr fontId="2" type="noConversion"/>
  </si>
  <si>
    <t>Maximum Input Voltage</t>
    <phoneticPr fontId="2" type="noConversion"/>
  </si>
  <si>
    <t>Switching Frequency</t>
    <phoneticPr fontId="2" type="noConversion"/>
  </si>
  <si>
    <t>D1 Diode Forward
Voltage Drop (estimate)</t>
    <phoneticPr fontId="2" type="noConversion"/>
  </si>
  <si>
    <t>D2 Diode Forward
Voltage Drop (estimate)</t>
    <phoneticPr fontId="2" type="noConversion"/>
  </si>
  <si>
    <t>Maximum Duty Ratio</t>
    <phoneticPr fontId="2" type="noConversion"/>
  </si>
  <si>
    <t>Minimum Duty Ratio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</si>
  <si>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IN,MIN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</si>
  <si>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IN,MAX</t>
    </r>
    <phoneticPr fontId="2" type="noConversion"/>
  </si>
  <si>
    <r>
      <t>F</t>
    </r>
    <r>
      <rPr>
        <sz val="9"/>
        <color theme="1"/>
        <rFont val="宋体"/>
        <family val="3"/>
        <charset val="134"/>
        <scheme val="minor"/>
      </rPr>
      <t>S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</si>
  <si>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D1F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</si>
  <si>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D2F</t>
    </r>
    <phoneticPr fontId="2" type="noConversion"/>
  </si>
  <si>
    <r>
      <t>D</t>
    </r>
    <r>
      <rPr>
        <sz val="9"/>
        <color theme="1"/>
        <rFont val="宋体"/>
        <family val="3"/>
        <charset val="134"/>
        <scheme val="minor"/>
      </rPr>
      <t>MAX</t>
    </r>
    <phoneticPr fontId="2" type="noConversion"/>
  </si>
  <si>
    <r>
      <t>D</t>
    </r>
    <r>
      <rPr>
        <sz val="9"/>
        <color theme="1"/>
        <rFont val="宋体"/>
        <family val="3"/>
        <charset val="134"/>
        <scheme val="minor"/>
      </rPr>
      <t>MIN</t>
    </r>
    <phoneticPr fontId="2" type="noConversion"/>
  </si>
  <si>
    <r>
      <t>100°C with I</t>
    </r>
    <r>
      <rPr>
        <sz val="9"/>
        <color theme="1"/>
        <rFont val="宋体"/>
        <family val="3"/>
        <charset val="134"/>
        <scheme val="minor"/>
      </rPr>
      <t>BULK</t>
    </r>
    <phoneticPr fontId="2" type="noConversion"/>
  </si>
  <si>
    <t>KHZ</t>
    <phoneticPr fontId="2" type="noConversion"/>
  </si>
  <si>
    <t>/</t>
    <phoneticPr fontId="2" type="noConversion"/>
  </si>
  <si>
    <t xml:space="preserve"> Power Stage Design</t>
    <phoneticPr fontId="2" type="noConversion"/>
  </si>
  <si>
    <t>参考文档：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</si>
  <si>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RMM</t>
    </r>
    <r>
      <rPr>
        <sz val="11"/>
        <color theme="1"/>
        <rFont val="宋体"/>
        <family val="2"/>
        <scheme val="minor"/>
      </rPr>
      <t>(D1)</t>
    </r>
    <phoneticPr fontId="2" type="noConversion"/>
  </si>
  <si>
    <t>Diode Breakdown Voltage
(minimum)</t>
    <phoneticPr fontId="2" type="noConversion"/>
  </si>
  <si>
    <t>Diode Current Rating
(minimum)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</si>
  <si>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RRM</t>
    </r>
    <r>
      <rPr>
        <sz val="11"/>
        <color theme="1"/>
        <rFont val="宋体"/>
        <family val="2"/>
        <scheme val="minor"/>
      </rPr>
      <t>=1.5*V</t>
    </r>
    <r>
      <rPr>
        <sz val="9"/>
        <color theme="1"/>
        <rFont val="宋体"/>
        <family val="3"/>
        <charset val="134"/>
        <scheme val="minor"/>
      </rPr>
      <t xml:space="preserve">BAT,MAX
</t>
    </r>
    <r>
      <rPr>
        <sz val="11"/>
        <color theme="1"/>
        <rFont val="宋体"/>
        <family val="3"/>
        <charset val="134"/>
        <scheme val="minor"/>
      </rPr>
      <t>(pick the next higher standard value)</t>
    </r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</si>
  <si>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O,MIN</t>
    </r>
    <r>
      <rPr>
        <sz val="11"/>
        <color theme="1"/>
        <rFont val="宋体"/>
        <family val="2"/>
        <scheme val="minor"/>
      </rPr>
      <t>=2*I</t>
    </r>
    <r>
      <rPr>
        <sz val="9"/>
        <color theme="1"/>
        <rFont val="宋体"/>
        <family val="3"/>
        <charset val="134"/>
        <scheme val="minor"/>
      </rPr>
      <t>BULK</t>
    </r>
    <phoneticPr fontId="2" type="noConversion"/>
  </si>
  <si>
    <r>
      <t>I</t>
    </r>
    <r>
      <rPr>
        <sz val="9"/>
        <color theme="1"/>
        <rFont val="宋体"/>
        <family val="2"/>
        <scheme val="minor"/>
      </rPr>
      <t>O,MIN</t>
    </r>
    <r>
      <rPr>
        <sz val="11"/>
        <color theme="1"/>
        <rFont val="宋体"/>
        <family val="2"/>
        <scheme val="minor"/>
      </rPr>
      <t>(D1)</t>
    </r>
    <r>
      <rPr>
        <sz val="11"/>
        <color theme="1"/>
        <rFont val="宋体"/>
        <family val="2"/>
        <charset val="134"/>
        <scheme val="minor"/>
      </rPr>
      <t/>
    </r>
    <phoneticPr fontId="2" type="noConversion"/>
  </si>
  <si>
    <t>D1</t>
    <phoneticPr fontId="2" type="noConversion"/>
  </si>
  <si>
    <t>Discharge Protection Diode</t>
    <phoneticPr fontId="2" type="noConversion"/>
  </si>
  <si>
    <t>Select general purpose diode.</t>
    <phoneticPr fontId="2" type="noConversion"/>
  </si>
  <si>
    <t>GI750CT</t>
    <phoneticPr fontId="2" type="noConversion"/>
  </si>
  <si>
    <r>
      <t>P</t>
    </r>
    <r>
      <rPr>
        <sz val="9"/>
        <color theme="1"/>
        <rFont val="宋体"/>
        <family val="3"/>
        <charset val="134"/>
        <scheme val="minor"/>
      </rPr>
      <t>D1</t>
    </r>
    <phoneticPr fontId="2" type="noConversion"/>
  </si>
  <si>
    <t>Diode Power Dissipation
(approximate value for
heatsink selection)</t>
    <phoneticPr fontId="2" type="noConversion"/>
  </si>
  <si>
    <r>
      <t>P</t>
    </r>
    <r>
      <rPr>
        <sz val="9"/>
        <color theme="1"/>
        <rFont val="宋体"/>
        <family val="3"/>
        <charset val="134"/>
        <scheme val="minor"/>
      </rPr>
      <t>D1</t>
    </r>
    <r>
      <rPr>
        <sz val="11"/>
        <color theme="1"/>
        <rFont val="宋体"/>
        <family val="2"/>
        <scheme val="minor"/>
      </rPr>
      <t>=I</t>
    </r>
    <r>
      <rPr>
        <sz val="9"/>
        <color theme="1"/>
        <rFont val="宋体"/>
        <family val="3"/>
        <charset val="134"/>
        <scheme val="minor"/>
      </rPr>
      <t>BULK</t>
    </r>
    <r>
      <rPr>
        <sz val="11"/>
        <color theme="1"/>
        <rFont val="宋体"/>
        <family val="2"/>
        <scheme val="minor"/>
      </rPr>
      <t>*V</t>
    </r>
    <r>
      <rPr>
        <sz val="9"/>
        <color theme="1"/>
        <rFont val="宋体"/>
        <family val="3"/>
        <charset val="134"/>
        <scheme val="minor"/>
      </rPr>
      <t>D1F</t>
    </r>
    <r>
      <rPr>
        <sz val="11"/>
        <color theme="1"/>
        <rFont val="宋体"/>
        <family val="2"/>
        <scheme val="minor"/>
      </rPr>
      <t xml:space="preserve">
(assuming 100°C junction temperature)</t>
    </r>
    <phoneticPr fontId="2" type="noConversion"/>
  </si>
  <si>
    <r>
      <t>I</t>
    </r>
    <r>
      <rPr>
        <sz val="9"/>
        <color theme="1"/>
        <rFont val="宋体"/>
        <family val="2"/>
        <scheme val="minor"/>
      </rPr>
      <t>O,MIN</t>
    </r>
    <r>
      <rPr>
        <sz val="11"/>
        <color theme="1"/>
        <rFont val="宋体"/>
        <family val="2"/>
        <scheme val="minor"/>
      </rPr>
      <t>(D2)</t>
    </r>
    <r>
      <rPr>
        <sz val="11"/>
        <color theme="1"/>
        <rFont val="宋体"/>
        <family val="2"/>
        <charset val="134"/>
        <scheme val="minor"/>
      </rPr>
      <t/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</si>
  <si>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RMM</t>
    </r>
    <r>
      <rPr>
        <sz val="11"/>
        <color theme="1"/>
        <rFont val="宋体"/>
        <family val="2"/>
        <scheme val="minor"/>
      </rPr>
      <t>(D2)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</si>
  <si>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RRM</t>
    </r>
    <r>
      <rPr>
        <sz val="11"/>
        <color theme="1"/>
        <rFont val="宋体"/>
        <family val="2"/>
        <scheme val="minor"/>
      </rPr>
      <t>=1.5*V</t>
    </r>
    <r>
      <rPr>
        <sz val="9"/>
        <color theme="1"/>
        <rFont val="宋体"/>
        <family val="2"/>
        <scheme val="minor"/>
      </rPr>
      <t>IN</t>
    </r>
    <r>
      <rPr>
        <sz val="9"/>
        <color theme="1"/>
        <rFont val="宋体"/>
        <family val="3"/>
        <charset val="134"/>
        <scheme val="minor"/>
      </rPr>
      <t xml:space="preserve">,MAX
</t>
    </r>
    <r>
      <rPr>
        <sz val="11"/>
        <color theme="1"/>
        <rFont val="宋体"/>
        <family val="3"/>
        <charset val="134"/>
        <scheme val="minor"/>
      </rPr>
      <t>(pick the next higher standard value)</t>
    </r>
    <phoneticPr fontId="2" type="noConversion"/>
  </si>
  <si>
    <t>D2</t>
    <phoneticPr fontId="2" type="noConversion"/>
  </si>
  <si>
    <t>Buck Freewheeling Diode</t>
    <phoneticPr fontId="2" type="noConversion"/>
  </si>
  <si>
    <t>Select ultra fast switching diode.</t>
    <phoneticPr fontId="2" type="noConversion"/>
  </si>
  <si>
    <t>MUR610</t>
    <phoneticPr fontId="2" type="noConversion"/>
  </si>
  <si>
    <r>
      <t>t</t>
    </r>
    <r>
      <rPr>
        <sz val="9"/>
        <color theme="1"/>
        <rFont val="宋体"/>
        <family val="3"/>
        <charset val="134"/>
        <scheme val="minor"/>
      </rPr>
      <t>RR</t>
    </r>
    <phoneticPr fontId="2" type="noConversion"/>
  </si>
  <si>
    <t>Diode Reverse Recovery
Time</t>
    <phoneticPr fontId="2" type="noConversion"/>
  </si>
  <si>
    <r>
      <t>catalog data; @ I</t>
    </r>
    <r>
      <rPr>
        <sz val="9"/>
        <color theme="1"/>
        <rFont val="宋体"/>
        <family val="3"/>
        <charset val="134"/>
        <scheme val="minor"/>
      </rPr>
      <t>BULK</t>
    </r>
    <r>
      <rPr>
        <sz val="11"/>
        <color theme="1"/>
        <rFont val="宋体"/>
        <family val="2"/>
        <scheme val="minor"/>
      </rPr>
      <t>; approximate value</t>
    </r>
    <phoneticPr fontId="2" type="noConversion"/>
  </si>
  <si>
    <t>ns</t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</si>
  <si>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RRM</t>
    </r>
    <phoneticPr fontId="2" type="noConversion"/>
  </si>
  <si>
    <t>Diode Peak Reverse
Recovery Current</t>
    <phoneticPr fontId="2" type="noConversion"/>
  </si>
  <si>
    <r>
      <t>P</t>
    </r>
    <r>
      <rPr>
        <sz val="9"/>
        <color theme="1"/>
        <rFont val="宋体"/>
        <family val="3"/>
        <charset val="134"/>
        <scheme val="minor"/>
      </rPr>
      <t>D2</t>
    </r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</si>
  <si>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D,MIN</t>
    </r>
    <r>
      <rPr>
        <sz val="11"/>
        <color theme="1"/>
        <rFont val="宋体"/>
        <family val="2"/>
        <scheme val="minor"/>
      </rPr>
      <t>(Q1)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</si>
  <si>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DSS</t>
    </r>
    <r>
      <rPr>
        <sz val="11"/>
        <color theme="1"/>
        <rFont val="宋体"/>
        <family val="2"/>
        <scheme val="minor"/>
      </rPr>
      <t xml:space="preserve"> (Q1)</t>
    </r>
    <phoneticPr fontId="2" type="noConversion"/>
  </si>
  <si>
    <t>Switch Breakdown Voltage
(minimum)</t>
    <phoneticPr fontId="2" type="noConversion"/>
  </si>
  <si>
    <t>Transistor Current Rating
(minimum)</t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</si>
  <si>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D,MIN</t>
    </r>
    <r>
      <rPr>
        <sz val="11"/>
        <color theme="1"/>
        <rFont val="宋体"/>
        <family val="2"/>
        <scheme val="minor"/>
      </rPr>
      <t>=4*I</t>
    </r>
    <r>
      <rPr>
        <sz val="9"/>
        <color theme="1"/>
        <rFont val="宋体"/>
        <family val="3"/>
        <charset val="134"/>
        <scheme val="minor"/>
      </rPr>
      <t>BULK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</si>
  <si>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DSS</t>
    </r>
    <r>
      <rPr>
        <sz val="11"/>
        <color theme="1"/>
        <rFont val="宋体"/>
        <family val="2"/>
        <scheme val="minor"/>
      </rPr>
      <t>=1.5*V</t>
    </r>
    <r>
      <rPr>
        <sz val="9"/>
        <color theme="1"/>
        <rFont val="宋体"/>
        <family val="3"/>
        <charset val="134"/>
        <scheme val="minor"/>
      </rPr>
      <t xml:space="preserve">IN,MAX
</t>
    </r>
    <r>
      <rPr>
        <sz val="11"/>
        <color theme="1"/>
        <rFont val="宋体"/>
        <family val="3"/>
        <charset val="134"/>
        <scheme val="minor"/>
      </rPr>
      <t>(pick the next higher standard value)</t>
    </r>
    <phoneticPr fontId="2" type="noConversion"/>
  </si>
  <si>
    <t>Q1</t>
    <phoneticPr fontId="2" type="noConversion"/>
  </si>
  <si>
    <t>Buck Main Switch</t>
    <phoneticPr fontId="2" type="noConversion"/>
  </si>
  <si>
    <t>Select the MOSFET transistor</t>
    <phoneticPr fontId="2" type="noConversion"/>
  </si>
  <si>
    <t>IRFZ14</t>
    <phoneticPr fontId="2" type="noConversion"/>
  </si>
  <si>
    <r>
      <rPr>
        <sz val="11"/>
        <color theme="1"/>
        <rFont val="宋体"/>
        <family val="3"/>
        <charset val="134"/>
        <scheme val="minor"/>
      </rPr>
      <t>R</t>
    </r>
    <r>
      <rPr>
        <sz val="9"/>
        <color theme="1"/>
        <rFont val="宋体"/>
        <family val="3"/>
        <charset val="134"/>
        <scheme val="minor"/>
      </rPr>
      <t>DSON</t>
    </r>
    <r>
      <rPr>
        <sz val="11"/>
        <color theme="1"/>
        <rFont val="宋体"/>
        <family val="2"/>
        <scheme val="minor"/>
      </rPr>
      <t xml:space="preserve"> (Q1)</t>
    </r>
    <phoneticPr fontId="2" type="noConversion"/>
  </si>
  <si>
    <t>Switch ON Resistance</t>
    <phoneticPr fontId="2" type="noConversion"/>
  </si>
  <si>
    <t>catalog data; @25 °C, typical value</t>
    <phoneticPr fontId="2" type="noConversion"/>
  </si>
  <si>
    <r>
      <t>C</t>
    </r>
    <r>
      <rPr>
        <sz val="9"/>
        <color theme="1"/>
        <rFont val="宋体"/>
        <family val="3"/>
        <charset val="134"/>
        <scheme val="minor"/>
      </rPr>
      <t>OSS</t>
    </r>
    <r>
      <rPr>
        <sz val="11"/>
        <color theme="1"/>
        <rFont val="宋体"/>
        <family val="2"/>
        <scheme val="minor"/>
      </rPr>
      <t xml:space="preserve"> (Q1)</t>
    </r>
    <phoneticPr fontId="2" type="noConversion"/>
  </si>
  <si>
    <t>Drain Source Capacitance</t>
    <phoneticPr fontId="2" type="noConversion"/>
  </si>
  <si>
    <t>catalog data; typical value</t>
    <phoneticPr fontId="2" type="noConversion"/>
  </si>
  <si>
    <t>pF</t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</si>
  <si>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GATE</t>
    </r>
    <phoneticPr fontId="2" type="noConversion"/>
  </si>
  <si>
    <t>Gate Charge/Discharge</t>
    <phoneticPr fontId="2" type="noConversion"/>
  </si>
  <si>
    <t>approximate, average value</t>
    <phoneticPr fontId="2" type="noConversion"/>
  </si>
  <si>
    <r>
      <t>Q</t>
    </r>
    <r>
      <rPr>
        <sz val="9"/>
        <color theme="1"/>
        <rFont val="宋体"/>
        <family val="3"/>
        <charset val="134"/>
        <scheme val="minor"/>
      </rPr>
      <t>GS</t>
    </r>
    <r>
      <rPr>
        <sz val="11"/>
        <color theme="1"/>
        <rFont val="宋体"/>
        <family val="2"/>
        <scheme val="minor"/>
      </rPr>
      <t xml:space="preserve"> (Q1)</t>
    </r>
    <phoneticPr fontId="2" type="noConversion"/>
  </si>
  <si>
    <r>
      <t>Q</t>
    </r>
    <r>
      <rPr>
        <sz val="9"/>
        <color theme="1"/>
        <rFont val="宋体"/>
        <family val="3"/>
        <charset val="134"/>
        <scheme val="minor"/>
      </rPr>
      <t>GD</t>
    </r>
    <r>
      <rPr>
        <sz val="11"/>
        <color theme="1"/>
        <rFont val="宋体"/>
        <family val="2"/>
        <scheme val="minor"/>
      </rPr>
      <t xml:space="preserve"> (Q1)</t>
    </r>
    <r>
      <rPr>
        <sz val="11"/>
        <color theme="1"/>
        <rFont val="宋体"/>
        <family val="2"/>
        <charset val="134"/>
        <scheme val="minor"/>
      </rPr>
      <t/>
    </r>
    <phoneticPr fontId="2" type="noConversion"/>
  </si>
  <si>
    <t>Gate-To-Source Charge</t>
    <phoneticPr fontId="2" type="noConversion"/>
  </si>
  <si>
    <t>Gate-To-Drain Charge</t>
    <phoneticPr fontId="2" type="noConversion"/>
  </si>
  <si>
    <t>catalog data</t>
  </si>
  <si>
    <t>catalog data</t>
    <phoneticPr fontId="2" type="noConversion"/>
  </si>
  <si>
    <t>nC</t>
    <phoneticPr fontId="2" type="noConversion"/>
  </si>
  <si>
    <r>
      <t>t</t>
    </r>
    <r>
      <rPr>
        <sz val="9"/>
        <color theme="1"/>
        <rFont val="宋体"/>
        <family val="3"/>
        <charset val="134"/>
        <scheme val="minor"/>
      </rPr>
      <t>OFF</t>
    </r>
    <r>
      <rPr>
        <sz val="11"/>
        <color theme="1"/>
        <rFont val="宋体"/>
        <family val="2"/>
        <scheme val="minor"/>
      </rPr>
      <t>; t</t>
    </r>
    <r>
      <rPr>
        <sz val="9"/>
        <color theme="1"/>
        <rFont val="宋体"/>
        <family val="3"/>
        <charset val="134"/>
        <scheme val="minor"/>
      </rPr>
      <t>ON</t>
    </r>
    <phoneticPr fontId="2" type="noConversion"/>
  </si>
  <si>
    <t>Approximate Switching
Times</t>
    <phoneticPr fontId="2" type="noConversion"/>
  </si>
  <si>
    <t>nS</t>
    <phoneticPr fontId="2" type="noConversion"/>
  </si>
  <si>
    <r>
      <t>P</t>
    </r>
    <r>
      <rPr>
        <sz val="9"/>
        <color theme="1"/>
        <rFont val="宋体"/>
        <family val="2"/>
        <scheme val="minor"/>
      </rPr>
      <t>Q1</t>
    </r>
    <phoneticPr fontId="2" type="noConversion"/>
  </si>
  <si>
    <t>Switch Power Dissipation
(approximate value for
heatsink selection)</t>
    <phoneticPr fontId="2" type="noConversion"/>
  </si>
  <si>
    <t>mR</t>
    <phoneticPr fontId="2" type="noConversion"/>
  </si>
  <si>
    <r>
      <t>P</t>
    </r>
    <r>
      <rPr>
        <sz val="9"/>
        <color theme="1"/>
        <rFont val="宋体"/>
        <family val="2"/>
        <scheme val="minor"/>
      </rPr>
      <t>H1</t>
    </r>
    <phoneticPr fontId="2" type="noConversion"/>
  </si>
  <si>
    <t>Heatsink Power Dissipation</t>
    <phoneticPr fontId="2" type="noConversion"/>
  </si>
  <si>
    <r>
      <t>P</t>
    </r>
    <r>
      <rPr>
        <sz val="9"/>
        <color theme="1"/>
        <rFont val="宋体"/>
        <family val="3"/>
        <charset val="134"/>
        <scheme val="minor"/>
      </rPr>
      <t>H1</t>
    </r>
    <r>
      <rPr>
        <sz val="11"/>
        <color theme="1"/>
        <rFont val="宋体"/>
        <family val="2"/>
        <scheme val="minor"/>
      </rPr>
      <t>=P</t>
    </r>
    <r>
      <rPr>
        <sz val="9"/>
        <color theme="1"/>
        <rFont val="宋体"/>
        <family val="3"/>
        <charset val="134"/>
        <scheme val="minor"/>
      </rPr>
      <t>D1</t>
    </r>
    <r>
      <rPr>
        <sz val="11"/>
        <color theme="1"/>
        <rFont val="宋体"/>
        <family val="2"/>
        <scheme val="minor"/>
      </rPr>
      <t>+P</t>
    </r>
    <r>
      <rPr>
        <sz val="9"/>
        <color theme="1"/>
        <rFont val="宋体"/>
        <family val="3"/>
        <charset val="134"/>
        <scheme val="minor"/>
      </rPr>
      <t>D2</t>
    </r>
    <r>
      <rPr>
        <sz val="11"/>
        <color theme="1"/>
        <rFont val="宋体"/>
        <family val="2"/>
        <scheme val="minor"/>
      </rPr>
      <t>+P</t>
    </r>
    <r>
      <rPr>
        <sz val="9"/>
        <color theme="1"/>
        <rFont val="宋体"/>
        <family val="3"/>
        <charset val="134"/>
        <scheme val="minor"/>
      </rPr>
      <t>Q1</t>
    </r>
    <r>
      <rPr>
        <sz val="11"/>
        <color theme="1"/>
        <rFont val="宋体"/>
        <family val="2"/>
        <scheme val="minor"/>
      </rPr>
      <t>;worst case, estimate</t>
    </r>
    <phoneticPr fontId="2" type="noConversion"/>
  </si>
  <si>
    <r>
      <t>△I</t>
    </r>
    <r>
      <rPr>
        <sz val="9"/>
        <color theme="1"/>
        <rFont val="宋体"/>
        <family val="3"/>
        <charset val="134"/>
        <scheme val="minor"/>
      </rPr>
      <t>L,MAX</t>
    </r>
    <phoneticPr fontId="2" type="noConversion"/>
  </si>
  <si>
    <t>Inductor Ripple Current</t>
    <phoneticPr fontId="2" type="noConversion"/>
  </si>
  <si>
    <r>
      <t>△I</t>
    </r>
    <r>
      <rPr>
        <sz val="9"/>
        <color theme="1"/>
        <rFont val="宋体"/>
        <family val="3"/>
        <charset val="134"/>
        <scheme val="minor"/>
      </rPr>
      <t>L,MAX</t>
    </r>
    <r>
      <rPr>
        <sz val="11"/>
        <color theme="1"/>
        <rFont val="宋体"/>
        <family val="3"/>
        <charset val="134"/>
        <scheme val="minor"/>
      </rPr>
      <t>=0.4*I</t>
    </r>
    <r>
      <rPr>
        <sz val="9"/>
        <color theme="1"/>
        <rFont val="宋体"/>
        <family val="3"/>
        <charset val="134"/>
        <scheme val="minor"/>
      </rPr>
      <t>BULK</t>
    </r>
    <r>
      <rPr>
        <sz val="11"/>
        <color theme="1"/>
        <rFont val="宋体"/>
        <family val="3"/>
        <charset val="134"/>
        <scheme val="minor"/>
      </rPr>
      <t>；typical value</t>
    </r>
    <phoneticPr fontId="2" type="noConversion"/>
  </si>
  <si>
    <t>L1</t>
    <phoneticPr fontId="2" type="noConversion"/>
  </si>
  <si>
    <t>Buck Inductance</t>
    <phoneticPr fontId="2" type="noConversion"/>
  </si>
  <si>
    <t>UH</t>
    <phoneticPr fontId="2" type="noConversion"/>
  </si>
  <si>
    <t>A</t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</si>
  <si>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LI,PEAK</t>
    </r>
    <phoneticPr fontId="2" type="noConversion"/>
  </si>
  <si>
    <t>Inductor Peak Current</t>
    <phoneticPr fontId="2" type="noConversion"/>
  </si>
  <si>
    <t>L1</t>
    <phoneticPr fontId="2" type="noConversion"/>
  </si>
  <si>
    <t>Buck Filter Inductor</t>
    <phoneticPr fontId="2" type="noConversion"/>
  </si>
  <si>
    <t>Check vendor’s list for off the shelf part number or design you inductor according to the values above</t>
    <phoneticPr fontId="2" type="noConversion"/>
  </si>
  <si>
    <t>PCV-2-400-05
(Coiltronics)</t>
    <phoneticPr fontId="2" type="noConversion"/>
  </si>
  <si>
    <t>/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</si>
  <si>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C3</t>
    </r>
    <phoneticPr fontId="2" type="noConversion"/>
  </si>
  <si>
    <t>Input Capacitor Voltage
Rating</t>
    <phoneticPr fontId="2" type="noConversion"/>
  </si>
  <si>
    <t>V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</si>
  <si>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C3</t>
    </r>
    <r>
      <rPr>
        <sz val="11"/>
        <color theme="1"/>
        <rFont val="宋体"/>
        <family val="2"/>
        <scheme val="minor"/>
      </rPr>
      <t>=1.5*V</t>
    </r>
    <r>
      <rPr>
        <sz val="9"/>
        <color theme="1"/>
        <rFont val="宋体"/>
        <family val="3"/>
        <charset val="134"/>
        <scheme val="minor"/>
      </rPr>
      <t xml:space="preserve">IN,MAX
</t>
    </r>
    <r>
      <rPr>
        <sz val="10"/>
        <color theme="1"/>
        <rFont val="宋体"/>
        <family val="3"/>
        <charset val="134"/>
        <scheme val="minor"/>
      </rPr>
      <t>(pick the next higher standard value)</t>
    </r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</si>
  <si>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C3,RMS</t>
    </r>
    <phoneticPr fontId="2" type="noConversion"/>
  </si>
  <si>
    <t>Input Capacitor RMS
Current</t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</si>
  <si>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C3,RMS</t>
    </r>
    <r>
      <rPr>
        <sz val="11"/>
        <color theme="1"/>
        <rFont val="宋体"/>
        <family val="2"/>
        <scheme val="minor"/>
      </rPr>
      <t>=0.5*I</t>
    </r>
    <r>
      <rPr>
        <sz val="9"/>
        <color theme="1"/>
        <rFont val="宋体"/>
        <family val="3"/>
        <charset val="134"/>
        <scheme val="minor"/>
      </rPr>
      <t xml:space="preserve">BULK
</t>
    </r>
    <r>
      <rPr>
        <sz val="11"/>
        <color theme="1"/>
        <rFont val="宋体"/>
        <family val="3"/>
        <charset val="134"/>
        <scheme val="minor"/>
      </rPr>
      <t>(worst case @ fS; D=0.5)</t>
    </r>
    <phoneticPr fontId="2" type="noConversion"/>
  </si>
  <si>
    <t>C3</t>
    <phoneticPr fontId="2" type="noConversion"/>
  </si>
  <si>
    <t>Input Capacitor
(electrolytic)</t>
    <phoneticPr fontId="2" type="noConversion"/>
  </si>
  <si>
    <t>High frequency type, i.e. Panasonic HFQ series
(see text for value considerations)</t>
    <phoneticPr fontId="2" type="noConversion"/>
  </si>
  <si>
    <t>UF</t>
    <phoneticPr fontId="2" type="noConversion"/>
  </si>
  <si>
    <t>C18</t>
    <phoneticPr fontId="2" type="noConversion"/>
  </si>
  <si>
    <t>High Frequency Bypass
Capacitor For Switches</t>
    <phoneticPr fontId="2" type="noConversion"/>
  </si>
  <si>
    <t>Polypropylene or stacked metallized film.Minimum voltage rating equals VC3.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</si>
  <si>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C5</t>
    </r>
    <phoneticPr fontId="2" type="noConversion"/>
  </si>
  <si>
    <t>Output Capacitor Voltage Rating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</si>
  <si>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C5</t>
    </r>
    <r>
      <rPr>
        <sz val="11"/>
        <color theme="1"/>
        <rFont val="宋体"/>
        <family val="2"/>
        <scheme val="minor"/>
      </rPr>
      <t>=1.5*V</t>
    </r>
    <r>
      <rPr>
        <sz val="9"/>
        <color theme="1"/>
        <rFont val="宋体"/>
        <family val="3"/>
        <charset val="134"/>
        <scheme val="minor"/>
      </rPr>
      <t>BAT,MAX</t>
    </r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</si>
  <si>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C5,RMS</t>
    </r>
    <phoneticPr fontId="2" type="noConversion"/>
  </si>
  <si>
    <t>Output Capacitor RMS
Current</t>
    <phoneticPr fontId="2" type="noConversion"/>
  </si>
  <si>
    <t>MA</t>
    <phoneticPr fontId="2" type="noConversion"/>
  </si>
  <si>
    <t>C5</t>
    <phoneticPr fontId="2" type="noConversion"/>
  </si>
  <si>
    <t>Output Capacitor
(electrolytic)</t>
    <phoneticPr fontId="2" type="noConversion"/>
  </si>
  <si>
    <r>
      <rPr>
        <sz val="11"/>
        <color theme="1"/>
        <rFont val="宋体"/>
        <family val="3"/>
        <charset val="134"/>
        <scheme val="minor"/>
      </rPr>
      <t>R</t>
    </r>
    <r>
      <rPr>
        <sz val="9"/>
        <color theme="1"/>
        <rFont val="宋体"/>
        <family val="3"/>
        <charset val="134"/>
        <scheme val="minor"/>
      </rPr>
      <t>C5,RMS</t>
    </r>
    <phoneticPr fontId="2" type="noConversion"/>
  </si>
  <si>
    <t>Output Capacitor’s ESR</t>
  </si>
  <si>
    <t>from datasheet</t>
    <phoneticPr fontId="2" type="noConversion"/>
  </si>
  <si>
    <t>MR</t>
    <phoneticPr fontId="2" type="noConversion"/>
  </si>
  <si>
    <r>
      <t>P</t>
    </r>
    <r>
      <rPr>
        <sz val="9"/>
        <color theme="1"/>
        <rFont val="宋体"/>
        <family val="3"/>
        <charset val="134"/>
        <scheme val="minor"/>
      </rPr>
      <t>SN,MAX</t>
    </r>
    <phoneticPr fontId="2" type="noConversion"/>
  </si>
  <si>
    <t>Snubber Power Dissipation</t>
    <phoneticPr fontId="2" type="noConversion"/>
  </si>
  <si>
    <t>W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</si>
  <si>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C4</t>
    </r>
    <phoneticPr fontId="2" type="noConversion"/>
  </si>
  <si>
    <t>Snubber Capacitor Voltage Rating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</si>
  <si>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C4</t>
    </r>
    <r>
      <rPr>
        <sz val="11"/>
        <color theme="1"/>
        <rFont val="宋体"/>
        <family val="2"/>
        <scheme val="minor"/>
      </rPr>
      <t>=1.5*V</t>
    </r>
    <r>
      <rPr>
        <sz val="9"/>
        <color theme="1"/>
        <rFont val="宋体"/>
        <family val="3"/>
        <charset val="134"/>
        <scheme val="minor"/>
      </rPr>
      <t xml:space="preserve">IN,MAX
</t>
    </r>
    <r>
      <rPr>
        <sz val="10"/>
        <color theme="1"/>
        <rFont val="宋体"/>
        <family val="3"/>
        <charset val="134"/>
        <scheme val="minor"/>
      </rPr>
      <t>(pick the next higher standard value)</t>
    </r>
    <phoneticPr fontId="2" type="noConversion"/>
  </si>
  <si>
    <t>C4</t>
    <phoneticPr fontId="2" type="noConversion"/>
  </si>
  <si>
    <t>NF</t>
    <phoneticPr fontId="2" type="noConversion"/>
  </si>
  <si>
    <t>R3</t>
    <phoneticPr fontId="2" type="noConversion"/>
  </si>
  <si>
    <t>Ω</t>
    <phoneticPr fontId="2" type="noConversion"/>
  </si>
  <si>
    <t>R4</t>
    <phoneticPr fontId="2" type="noConversion"/>
  </si>
  <si>
    <r>
      <t>P</t>
    </r>
    <r>
      <rPr>
        <sz val="9"/>
        <color theme="1"/>
        <rFont val="宋体"/>
        <family val="2"/>
        <scheme val="minor"/>
      </rPr>
      <t>R4</t>
    </r>
    <r>
      <rPr>
        <sz val="9"/>
        <color theme="1"/>
        <rFont val="宋体"/>
        <family val="3"/>
        <charset val="134"/>
        <scheme val="minor"/>
      </rPr>
      <t>,MAX</t>
    </r>
    <phoneticPr fontId="2" type="noConversion"/>
  </si>
  <si>
    <t>Current Sense Resistor
Power Dissipation</t>
    <phoneticPr fontId="2" type="noConversion"/>
  </si>
  <si>
    <t>F1</t>
    <phoneticPr fontId="2" type="noConversion"/>
  </si>
  <si>
    <t>Output Fuse Rating
(fast acting type)</t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</si>
  <si>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F1</t>
    </r>
    <r>
      <rPr>
        <sz val="11"/>
        <color theme="1"/>
        <rFont val="宋体"/>
        <family val="2"/>
        <scheme val="minor"/>
      </rPr>
      <t>=1.25*I</t>
    </r>
    <r>
      <rPr>
        <sz val="9"/>
        <color theme="1"/>
        <rFont val="宋体"/>
        <family val="3"/>
        <charset val="134"/>
        <scheme val="minor"/>
      </rPr>
      <t>BULK</t>
    </r>
    <r>
      <rPr>
        <sz val="11"/>
        <color theme="1"/>
        <rFont val="宋体"/>
        <family val="2"/>
        <scheme val="minor"/>
      </rPr>
      <t xml:space="preserve">
(pick the next higher standard value)</t>
    </r>
    <phoneticPr fontId="2" type="noConversion"/>
  </si>
  <si>
    <t>C6, C7, C13,
C14, C15,
C16,C17</t>
    <phoneticPr fontId="2" type="noConversion"/>
  </si>
  <si>
    <t>Bypass Capacitors</t>
    <phoneticPr fontId="2" type="noConversion"/>
  </si>
  <si>
    <t>X7R monolithic ceramic capacitors.
Minimum voltage rating 25V.</t>
    <phoneticPr fontId="2" type="noConversion"/>
  </si>
  <si>
    <t xml:space="preserve"> Auxiliary Power Supply</t>
    <phoneticPr fontId="2" type="noConversion"/>
  </si>
  <si>
    <t>D3</t>
    <phoneticPr fontId="2" type="noConversion"/>
  </si>
  <si>
    <t>Q3</t>
    <phoneticPr fontId="2" type="noConversion"/>
  </si>
  <si>
    <t>R1</t>
    <phoneticPr fontId="2" type="noConversion"/>
  </si>
  <si>
    <t>C1</t>
    <phoneticPr fontId="2" type="noConversion"/>
  </si>
  <si>
    <t>Auxiliary Voltage Stabilizer</t>
    <phoneticPr fontId="2" type="noConversion"/>
  </si>
  <si>
    <t>1N4744A</t>
    <phoneticPr fontId="2" type="noConversion"/>
  </si>
  <si>
    <t>Collector Emitter
Breakdown Voltage</t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</si>
  <si>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CEO</t>
    </r>
    <r>
      <rPr>
        <sz val="11"/>
        <color theme="1"/>
        <rFont val="宋体"/>
        <family val="2"/>
        <scheme val="minor"/>
      </rPr>
      <t>(Q3)</t>
    </r>
    <phoneticPr fontId="2" type="noConversion"/>
  </si>
  <si>
    <r>
      <t>P</t>
    </r>
    <r>
      <rPr>
        <sz val="9"/>
        <color theme="1"/>
        <rFont val="宋体"/>
        <family val="3"/>
        <charset val="134"/>
        <scheme val="minor"/>
      </rPr>
      <t>R1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</si>
  <si>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CEO</t>
    </r>
    <r>
      <rPr>
        <sz val="11"/>
        <color theme="1"/>
        <rFont val="宋体"/>
        <family val="2"/>
        <scheme val="minor"/>
      </rPr>
      <t>=1.5*(V</t>
    </r>
    <r>
      <rPr>
        <sz val="9"/>
        <color theme="1"/>
        <rFont val="宋体"/>
        <family val="3"/>
        <charset val="134"/>
        <scheme val="minor"/>
      </rPr>
      <t>IN,MAX</t>
    </r>
    <r>
      <rPr>
        <sz val="11"/>
        <color theme="1"/>
        <rFont val="宋体"/>
        <family val="2"/>
        <scheme val="minor"/>
      </rPr>
      <t>-V</t>
    </r>
    <r>
      <rPr>
        <sz val="9"/>
        <color theme="1"/>
        <rFont val="宋体"/>
        <family val="3"/>
        <charset val="134"/>
        <scheme val="minor"/>
      </rPr>
      <t>Z</t>
    </r>
    <r>
      <rPr>
        <sz val="11"/>
        <color theme="1"/>
        <rFont val="宋体"/>
        <family val="2"/>
        <scheme val="minor"/>
      </rPr>
      <t>)
(select the next higher standard value)</t>
    </r>
    <phoneticPr fontId="2" type="noConversion"/>
  </si>
  <si>
    <r>
      <t>V</t>
    </r>
    <r>
      <rPr>
        <sz val="9"/>
        <color theme="1"/>
        <rFont val="宋体"/>
        <family val="3"/>
        <charset val="134"/>
        <scheme val="minor"/>
      </rPr>
      <t>Z</t>
    </r>
    <r>
      <rPr>
        <sz val="11"/>
        <color theme="1"/>
        <rFont val="宋体"/>
        <family val="2"/>
        <scheme val="minor"/>
      </rPr>
      <t>= 15V; zener diode; 1W / 5%</t>
    </r>
    <phoneticPr fontId="2" type="noConversion"/>
  </si>
  <si>
    <t>Auxiliary Power Bypass</t>
    <phoneticPr fontId="2" type="noConversion"/>
  </si>
  <si>
    <t>Select general purpose NPN transistor.</t>
    <phoneticPr fontId="2" type="noConversion"/>
  </si>
  <si>
    <t>2N3904</t>
    <phoneticPr fontId="2" type="noConversion"/>
  </si>
  <si>
    <t>Zener Bias Resistor</t>
    <phoneticPr fontId="2" type="noConversion"/>
  </si>
  <si>
    <t>KΩ</t>
    <phoneticPr fontId="2" type="noConversion"/>
  </si>
  <si>
    <t>Zener Bias Resistor
Power Dissipation</t>
    <phoneticPr fontId="2" type="noConversion"/>
  </si>
  <si>
    <t>Auxiliary Power Storage
Capacitor</t>
    <phoneticPr fontId="2" type="noConversion"/>
  </si>
  <si>
    <t>Aluminum electrolytic capacitor.
Minimum voltage rating 25V.</t>
    <phoneticPr fontId="2" type="noConversion"/>
  </si>
  <si>
    <t xml:space="preserve"> Gate Drive</t>
    <phoneticPr fontId="2" type="noConversion"/>
  </si>
  <si>
    <t>U2</t>
    <phoneticPr fontId="2" type="noConversion"/>
  </si>
  <si>
    <t>C2</t>
    <phoneticPr fontId="2" type="noConversion"/>
  </si>
  <si>
    <t>D4，D5</t>
    <phoneticPr fontId="2" type="noConversion"/>
  </si>
  <si>
    <t>Q2</t>
    <phoneticPr fontId="2" type="noConversion"/>
  </si>
  <si>
    <t>R2</t>
    <phoneticPr fontId="2" type="noConversion"/>
  </si>
  <si>
    <t>R21，R22</t>
    <phoneticPr fontId="2" type="noConversion"/>
  </si>
  <si>
    <t>R23</t>
    <phoneticPr fontId="2" type="noConversion"/>
  </si>
  <si>
    <t>R30</t>
    <phoneticPr fontId="2" type="noConversion"/>
  </si>
  <si>
    <t>International Rectifier</t>
    <phoneticPr fontId="2" type="noConversion"/>
  </si>
  <si>
    <t>High Voltage High Side MOS Gate Driver</t>
    <phoneticPr fontId="2" type="noConversion"/>
  </si>
  <si>
    <t>IR2125</t>
    <phoneticPr fontId="2" type="noConversion"/>
  </si>
  <si>
    <t>Bootstrap Capacitor</t>
    <phoneticPr fontId="2" type="noConversion"/>
  </si>
  <si>
    <t>Stacked metallized film capacitor.
Minimum voltage rating 25V.</t>
    <phoneticPr fontId="2" type="noConversion"/>
  </si>
  <si>
    <t>Switching Signal Diodes</t>
    <phoneticPr fontId="2" type="noConversion"/>
  </si>
  <si>
    <t>Select high speed signal switching diodes.</t>
    <phoneticPr fontId="2" type="noConversion"/>
  </si>
  <si>
    <t>1N4148</t>
    <phoneticPr fontId="2" type="noConversion"/>
  </si>
  <si>
    <t>Gate Drive Inverter</t>
    <phoneticPr fontId="2" type="noConversion"/>
  </si>
  <si>
    <t>Select small signal MOSFET transistor.</t>
    <phoneticPr fontId="2" type="noConversion"/>
  </si>
  <si>
    <t>2N7000</t>
    <phoneticPr fontId="2" type="noConversion"/>
  </si>
  <si>
    <t>Gate Resistor for Q1</t>
    <phoneticPr fontId="2" type="noConversion"/>
  </si>
  <si>
    <t>Gate Drive Pull Up Resis-tors</t>
    <phoneticPr fontId="2" type="noConversion"/>
  </si>
  <si>
    <t>Bootstrap Precharger</t>
    <phoneticPr fontId="2" type="noConversion"/>
  </si>
  <si>
    <t>Gate Pull Down Resistor</t>
    <phoneticPr fontId="2" type="noConversion"/>
  </si>
  <si>
    <t xml:space="preserve"> Differential Voltage Sense - Optional</t>
    <phoneticPr fontId="2" type="noConversion"/>
  </si>
  <si>
    <t>U4</t>
    <phoneticPr fontId="2" type="noConversion"/>
  </si>
  <si>
    <t>National Semiconductor</t>
    <phoneticPr fontId="2" type="noConversion"/>
  </si>
  <si>
    <t>Dual Single Supply Operational Amplifier</t>
    <phoneticPr fontId="2" type="noConversion"/>
  </si>
  <si>
    <t>LM358N</t>
    <phoneticPr fontId="2" type="noConversion"/>
  </si>
  <si>
    <r>
      <t>I</t>
    </r>
    <r>
      <rPr>
        <sz val="9"/>
        <color theme="1"/>
        <rFont val="宋体"/>
        <family val="3"/>
        <charset val="134"/>
        <scheme val="minor"/>
      </rPr>
      <t>FB,MAX</t>
    </r>
    <phoneticPr fontId="2" type="noConversion"/>
  </si>
  <si>
    <t>Maximum Current Through
Feedback Resistors</t>
    <phoneticPr fontId="2" type="noConversion"/>
  </si>
  <si>
    <t>UA</t>
    <phoneticPr fontId="2" type="noConversion"/>
  </si>
  <si>
    <t>R24, R27</t>
    <phoneticPr fontId="2" type="noConversion"/>
  </si>
  <si>
    <t>Voltage Sense Resistors</t>
    <phoneticPr fontId="2" type="noConversion"/>
  </si>
  <si>
    <t>R28, R29</t>
    <phoneticPr fontId="2" type="noConversion"/>
  </si>
  <si>
    <t>R28=R29=0.001*R24</t>
    <phoneticPr fontId="2" type="noConversion"/>
  </si>
  <si>
    <t>R25, R26</t>
    <phoneticPr fontId="2" type="noConversion"/>
  </si>
  <si>
    <t>Voltage Sense Divider</t>
    <phoneticPr fontId="2" type="noConversion"/>
  </si>
  <si>
    <t>Gain Of Voltage Sense
Amplifier</t>
    <phoneticPr fontId="2" type="noConversion"/>
  </si>
  <si>
    <t xml:space="preserve"> Charger Control Section - IC Setup - Housekeeping   
 And Temperature Sensing</t>
    <phoneticPr fontId="2" type="noConversion"/>
  </si>
  <si>
    <t>U1</t>
    <phoneticPr fontId="2" type="noConversion"/>
  </si>
  <si>
    <t>C8</t>
    <phoneticPr fontId="2" type="noConversion"/>
  </si>
  <si>
    <t>R8</t>
    <phoneticPr fontId="2" type="noConversion"/>
  </si>
  <si>
    <t>Unitrode</t>
    <phoneticPr fontId="2" type="noConversion"/>
  </si>
  <si>
    <t>Switchmode Lead-Acid Battery Charger IC</t>
    <phoneticPr fontId="2" type="noConversion"/>
  </si>
  <si>
    <t>UC3909N</t>
    <phoneticPr fontId="2" type="noConversion"/>
  </si>
  <si>
    <t>Timing Capacitor, CT</t>
    <phoneticPr fontId="2" type="noConversion"/>
  </si>
  <si>
    <t>RSET
Oscillator</t>
    <phoneticPr fontId="2" type="noConversion"/>
  </si>
  <si>
    <t>R7</t>
    <phoneticPr fontId="2" type="noConversion"/>
  </si>
  <si>
    <t>RP1</t>
    <phoneticPr fontId="2" type="noConversion"/>
  </si>
  <si>
    <t>Reference Resistor For
The
Thermistor Linearizer</t>
    <phoneticPr fontId="2" type="noConversion"/>
  </si>
  <si>
    <t>Select 1%, low temperature coefficient type.</t>
    <phoneticPr fontId="2" type="noConversion"/>
  </si>
  <si>
    <t>Thermistor Emulation
Potentiometer</t>
    <phoneticPr fontId="2" type="noConversion"/>
  </si>
  <si>
    <r>
      <t>Select 10 turns potentiometer for fine resolution.
(Set initial value to 10k</t>
    </r>
    <r>
      <rPr>
        <sz val="11"/>
        <color theme="1"/>
        <rFont val="宋体"/>
        <family val="3"/>
        <charset val="129"/>
        <scheme val="minor"/>
      </rPr>
      <t>Ω</t>
    </r>
    <r>
      <rPr>
        <sz val="11"/>
        <color theme="1"/>
        <rFont val="宋体"/>
        <family val="2"/>
        <scheme val="minor"/>
      </rPr>
      <t xml:space="preserve">  before putting it in.)</t>
    </r>
    <phoneticPr fontId="2" type="noConversion"/>
  </si>
  <si>
    <t xml:space="preserve"> Charger Control Section - IC Setup - Current Levels</t>
    <phoneticPr fontId="2" type="noConversion"/>
  </si>
  <si>
    <t>R9</t>
    <phoneticPr fontId="2" type="noConversion"/>
  </si>
  <si>
    <t>R10</t>
    <phoneticPr fontId="2" type="noConversion"/>
  </si>
  <si>
    <t>R11</t>
  </si>
  <si>
    <t>R12</t>
  </si>
  <si>
    <t>OVCTAP Set Resistor
(ROVC2)</t>
    <phoneticPr fontId="2" type="noConversion"/>
  </si>
  <si>
    <t>OVCTAP Set Resistor
(ROVC1)</t>
    <phoneticPr fontId="2" type="noConversion"/>
  </si>
  <si>
    <t>Trickle Current Limit Set
Resistor (RG1)</t>
    <phoneticPr fontId="2" type="noConversion"/>
  </si>
  <si>
    <t>Bulk Current Limit Set
Resistor (RG2)</t>
    <phoneticPr fontId="2" type="noConversion"/>
  </si>
  <si>
    <t>Noncritical; use:</t>
    <phoneticPr fontId="2" type="noConversion"/>
  </si>
  <si>
    <t xml:space="preserve"> Charger Control Section - IC Setup - Voltage Levels</t>
    <phoneticPr fontId="2" type="noConversion"/>
  </si>
  <si>
    <t>R15</t>
    <phoneticPr fontId="2" type="noConversion"/>
  </si>
  <si>
    <t>R16</t>
    <phoneticPr fontId="2" type="noConversion"/>
  </si>
  <si>
    <t>R17</t>
  </si>
  <si>
    <t>R18</t>
    <phoneticPr fontId="2" type="noConversion"/>
  </si>
  <si>
    <t>Battery Voltage Divider
(RS1)  ±1% recommended</t>
    <phoneticPr fontId="2" type="noConversion"/>
  </si>
  <si>
    <t>Battery Voltage Divider
(RS2)  ±1% recommended</t>
    <phoneticPr fontId="2" type="noConversion"/>
  </si>
  <si>
    <t>Battery Voltage Divider
(RS3)  ±1% recommended</t>
    <phoneticPr fontId="2" type="noConversion"/>
  </si>
  <si>
    <t>Battery Voltage Divider
(RS4)  ±1% recommended</t>
    <phoneticPr fontId="2" type="noConversion"/>
  </si>
  <si>
    <t xml:space="preserve"> Charger Control Section - IC Setup - Current Error Amplifier</t>
    <phoneticPr fontId="2" type="noConversion"/>
  </si>
  <si>
    <t>R14</t>
    <phoneticPr fontId="2" type="noConversion"/>
  </si>
  <si>
    <t>C11</t>
    <phoneticPr fontId="2" type="noConversion"/>
  </si>
  <si>
    <t>C12</t>
    <phoneticPr fontId="2" type="noConversion"/>
  </si>
  <si>
    <t>Current Error Amplifier
Compensation Resistor</t>
    <phoneticPr fontId="2" type="noConversion"/>
  </si>
  <si>
    <t>Current Error Amplifier
Compensation Capacitor</t>
    <phoneticPr fontId="2" type="noConversion"/>
  </si>
  <si>
    <t>item</t>
    <phoneticPr fontId="2" type="noConversion"/>
  </si>
  <si>
    <t xml:space="preserve"> Charger Control Section - IC Setup - Voltage Error Amplifier</t>
    <phoneticPr fontId="2" type="noConversion"/>
  </si>
  <si>
    <t>f0</t>
    <phoneticPr fontId="2" type="noConversion"/>
  </si>
  <si>
    <t>Voltage Loop Cross-Over
Frequency</t>
    <phoneticPr fontId="2" type="noConversion"/>
  </si>
  <si>
    <t>Dominant pole; noncritical requirements.</t>
    <phoneticPr fontId="2" type="noConversion"/>
  </si>
  <si>
    <t>KHZ</t>
    <phoneticPr fontId="2" type="noConversion"/>
  </si>
  <si>
    <t>R13</t>
    <phoneticPr fontId="2" type="noConversion"/>
  </si>
  <si>
    <t>C9</t>
    <phoneticPr fontId="2" type="noConversion"/>
  </si>
  <si>
    <t>C10</t>
    <phoneticPr fontId="2" type="noConversion"/>
  </si>
  <si>
    <t>Voltage Error Amplifier
Compensation Resistor</t>
    <phoneticPr fontId="2" type="noConversion"/>
  </si>
  <si>
    <t>Voltage Error Amplifier
Compensation Capacitor</t>
    <phoneticPr fontId="2" type="noConversion"/>
  </si>
  <si>
    <t>PF</t>
    <phoneticPr fontId="2" type="noConversion"/>
  </si>
  <si>
    <t>L1(实取)</t>
    <phoneticPr fontId="2" type="noConversion"/>
  </si>
  <si>
    <t xml:space="preserve"> Charge State Decoder</t>
    <phoneticPr fontId="2" type="noConversion"/>
  </si>
  <si>
    <t>U3</t>
    <phoneticPr fontId="2" type="noConversion"/>
  </si>
  <si>
    <t>D6, D7,
D8, D9</t>
    <phoneticPr fontId="2" type="noConversion"/>
  </si>
  <si>
    <t>Motorola</t>
    <phoneticPr fontId="2" type="noConversion"/>
  </si>
  <si>
    <t>Status Indicator LED’s</t>
    <phoneticPr fontId="2" type="noConversion"/>
  </si>
  <si>
    <t>Dual Binary To 1-of-4 Decoder/Demultiplexer</t>
    <phoneticPr fontId="2" type="noConversion"/>
  </si>
  <si>
    <t>Quad green LED assembly.</t>
    <phoneticPr fontId="2" type="noConversion"/>
  </si>
  <si>
    <t>MC14555BCP</t>
    <phoneticPr fontId="2" type="noConversion"/>
  </si>
  <si>
    <t>IDI 5640H5</t>
    <phoneticPr fontId="2" type="noConversion"/>
  </si>
  <si>
    <t>Q4, Q5,
Q6, Q7</t>
    <phoneticPr fontId="2" type="noConversion"/>
  </si>
  <si>
    <t>R6</t>
    <phoneticPr fontId="2" type="noConversion"/>
  </si>
  <si>
    <t>R5</t>
    <phoneticPr fontId="2" type="noConversion"/>
  </si>
  <si>
    <t>R19, R20</t>
    <phoneticPr fontId="2" type="noConversion"/>
  </si>
  <si>
    <t>LED Driver Transistors</t>
    <phoneticPr fontId="2" type="noConversion"/>
  </si>
  <si>
    <t>Minimum VCEO equals V
IN,MAX  value</t>
    <phoneticPr fontId="2" type="noConversion"/>
  </si>
  <si>
    <t>LED Current Set Resistor</t>
    <phoneticPr fontId="2" type="noConversion"/>
  </si>
  <si>
    <t>Voltage Limiter of the LED
Driver Transistors</t>
    <phoneticPr fontId="2" type="noConversion"/>
  </si>
  <si>
    <t>Pull Up Resistors</t>
    <phoneticPr fontId="2" type="noConversion"/>
  </si>
  <si>
    <t>R6=4.3/0.01
assuming 10 mA LED current.</t>
    <phoneticPr fontId="2" type="noConversion"/>
  </si>
  <si>
    <t>C4(实取)</t>
    <phoneticPr fontId="2" type="noConversion"/>
  </si>
  <si>
    <t>Snubber Capacitor
(polypropylene or metal-lized film)</t>
    <phoneticPr fontId="2" type="noConversion"/>
  </si>
  <si>
    <t>Snubber Capacitor</t>
    <phoneticPr fontId="2" type="noConversion"/>
  </si>
  <si>
    <t>/</t>
    <phoneticPr fontId="2" type="noConversion"/>
  </si>
  <si>
    <t>NF</t>
    <phoneticPr fontId="2" type="noConversion"/>
  </si>
  <si>
    <t>R3(实取)</t>
    <phoneticPr fontId="2" type="noConversion"/>
  </si>
  <si>
    <t>Snubber Resistor
(noninductive)</t>
    <phoneticPr fontId="2" type="noConversion"/>
  </si>
  <si>
    <t>Snubber Resistor</t>
    <phoneticPr fontId="2" type="noConversion"/>
  </si>
  <si>
    <t>R4（实取）</t>
    <phoneticPr fontId="2" type="noConversion"/>
  </si>
  <si>
    <t>Current Sense Resistor
(RS)
(noninductive)</t>
    <phoneticPr fontId="2" type="noConversion"/>
  </si>
  <si>
    <t>Current Sense Resistor</t>
    <phoneticPr fontId="2" type="noConversion"/>
  </si>
  <si>
    <r>
      <t>A</t>
    </r>
    <r>
      <rPr>
        <sz val="9"/>
        <color theme="1"/>
        <rFont val="宋体"/>
        <family val="3"/>
        <charset val="134"/>
        <scheme val="minor"/>
      </rPr>
      <t>MIN</t>
    </r>
    <phoneticPr fontId="2" type="noConversion"/>
  </si>
  <si>
    <r>
      <t>A</t>
    </r>
    <r>
      <rPr>
        <sz val="9"/>
        <color theme="1"/>
        <rFont val="宋体"/>
        <family val="2"/>
        <scheme val="minor"/>
      </rPr>
      <t>MAX</t>
    </r>
    <phoneticPr fontId="2" type="noConversion"/>
  </si>
  <si>
    <t>A（实取）</t>
    <phoneticPr fontId="2" type="noConversion"/>
  </si>
  <si>
    <t>Gain Of Voltage Sense
Amplifier</t>
    <phoneticPr fontId="2" type="noConversion"/>
  </si>
  <si>
    <t>Gain Of Voltage Sense
Amplifier</t>
    <phoneticPr fontId="2" type="noConversion"/>
  </si>
  <si>
    <t>R9(实取)</t>
    <phoneticPr fontId="2" type="noConversion"/>
  </si>
  <si>
    <t>R10(实取)</t>
    <phoneticPr fontId="2" type="noConversion"/>
  </si>
  <si>
    <t>R11(实取)</t>
    <phoneticPr fontId="2" type="noConversion"/>
  </si>
  <si>
    <t>R12(实取)</t>
    <phoneticPr fontId="2" type="noConversion"/>
  </si>
  <si>
    <t>ROVC2</t>
    <phoneticPr fontId="2" type="noConversion"/>
  </si>
  <si>
    <t>ROVC1</t>
    <phoneticPr fontId="2" type="noConversion"/>
  </si>
  <si>
    <t>RG1</t>
    <phoneticPr fontId="2" type="noConversion"/>
  </si>
  <si>
    <t>RG2</t>
    <phoneticPr fontId="2" type="noConversion"/>
  </si>
  <si>
    <t>RS1</t>
    <phoneticPr fontId="2" type="noConversion"/>
  </si>
  <si>
    <t>RS2</t>
    <phoneticPr fontId="2" type="noConversion"/>
  </si>
  <si>
    <t>RS3</t>
    <phoneticPr fontId="2" type="noConversion"/>
  </si>
  <si>
    <t>RS4</t>
    <phoneticPr fontId="2" type="noConversion"/>
  </si>
  <si>
    <t>R15(实取)</t>
    <phoneticPr fontId="2" type="noConversion"/>
  </si>
  <si>
    <t>R16(实取)</t>
    <phoneticPr fontId="2" type="noConversion"/>
  </si>
  <si>
    <t>R17(实取)</t>
    <phoneticPr fontId="2" type="noConversion"/>
  </si>
  <si>
    <t>R18(实取)</t>
    <phoneticPr fontId="2" type="noConversion"/>
  </si>
  <si>
    <t>R14(实取)</t>
    <phoneticPr fontId="2" type="noConversion"/>
  </si>
  <si>
    <t>C11(实取)</t>
    <phoneticPr fontId="2" type="noConversion"/>
  </si>
  <si>
    <t>C12(实取)</t>
    <phoneticPr fontId="2" type="noConversion"/>
  </si>
  <si>
    <t>R13(实取)</t>
    <phoneticPr fontId="2" type="noConversion"/>
  </si>
  <si>
    <t>C9(实取)</t>
    <phoneticPr fontId="2" type="noConversion"/>
  </si>
  <si>
    <t>C10(实取)</t>
    <phoneticPr fontId="2" type="noConversion"/>
  </si>
  <si>
    <t>KΩ</t>
    <phoneticPr fontId="2" type="noConversion"/>
  </si>
  <si>
    <t>Ω</t>
    <phoneticPr fontId="2" type="noConversion"/>
  </si>
  <si>
    <t>MΩ</t>
    <phoneticPr fontId="2" type="noConversion"/>
  </si>
  <si>
    <t>mΩ</t>
    <phoneticPr fontId="2" type="noConversion"/>
  </si>
  <si>
    <t>typical value; the thermistor linearizer circuit is
calibrated for this temperature coefficient，-3.9mv/℃</t>
    <phoneticPr fontId="2" type="noConversion"/>
  </si>
  <si>
    <t>UC2909N</t>
    <phoneticPr fontId="2" type="noConversion"/>
  </si>
  <si>
    <t>R4（MAX）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</si>
</sst>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_ "/>
    <numFmt numFmtId="178" formatCode="0.0_ "/>
    <numFmt numFmtId="179" formatCode="0.00_ "/>
    <numFmt numFmtId="180" formatCode="0.000_ "/>
    <numFmt numFmtId="181" formatCode="0.0_);[Red]\(0.0\)"/>
  </numFmts>
  <fonts count="10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sz val="9"/>
      <color theme="1"/>
      <name val="宋体"/>
      <family val="2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0" xfId="0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179" fontId="0" fillId="0" borderId="7" xfId="0" applyNumberFormat="1" applyBorder="1" applyAlignment="1">
      <alignment horizontal="center" vertical="center"/>
    </xf>
    <xf numFmtId="178" fontId="0" fillId="0" borderId="7" xfId="0" applyNumberForma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79" fontId="0" fillId="0" borderId="1" xfId="0" applyNumberForma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1" fontId="0" fillId="0" borderId="7" xfId="0" applyNumberFormat="1" applyBorder="1" applyAlignment="1">
      <alignment horizontal="center" vertical="center"/>
    </xf>
    <xf numFmtId="178" fontId="0" fillId="3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76" fontId="0" fillId="3" borderId="1" xfId="0" applyNumberFormat="1" applyFill="1" applyBorder="1" applyAlignment="1">
      <alignment horizontal="center" vertical="center" wrapText="1"/>
    </xf>
    <xf numFmtId="179" fontId="0" fillId="3" borderId="7" xfId="0" applyNumberFormat="1" applyFill="1" applyBorder="1" applyAlignment="1">
      <alignment horizontal="center" vertical="center"/>
    </xf>
    <xf numFmtId="181" fontId="0" fillId="3" borderId="1" xfId="0" applyNumberFormat="1" applyFill="1" applyBorder="1" applyAlignment="1">
      <alignment horizontal="center" vertical="center"/>
    </xf>
    <xf numFmtId="181" fontId="0" fillId="3" borderId="7" xfId="0" applyNumberFormat="1" applyFill="1" applyBorder="1" applyAlignment="1">
      <alignment horizontal="center" vertical="center"/>
    </xf>
    <xf numFmtId="178" fontId="0" fillId="3" borderId="1" xfId="0" applyNumberFormat="1" applyFill="1" applyBorder="1" applyAlignment="1">
      <alignment horizontal="center" vertical="center"/>
    </xf>
    <xf numFmtId="178" fontId="0" fillId="3" borderId="7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6" fillId="4" borderId="5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4" borderId="5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2" xfId="0" applyFont="1" applyFill="1" applyBorder="1" applyAlignment="1">
      <alignment horizontal="left" vertical="center" wrapText="1"/>
    </xf>
    <xf numFmtId="0" fontId="6" fillId="4" borderId="13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left" vertical="center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8" Type="http://schemas.openxmlformats.org/officeDocument/2006/relationships/image" Target="../media/image11.png"/><Relationship Id="rId3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8" Type="http://schemas.openxmlformats.org/officeDocument/2006/relationships/image" Target="../media/image11.png"/><Relationship Id="rId3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17</xdr:row>
      <xdr:rowOff>66675</xdr:rowOff>
    </xdr:from>
    <xdr:to>
      <xdr:col>3</xdr:col>
      <xdr:colOff>2381250</xdr:colOff>
      <xdr:row>17</xdr:row>
      <xdr:rowOff>493038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5353050"/>
          <a:ext cx="2276475" cy="42636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18</xdr:row>
      <xdr:rowOff>57150</xdr:rowOff>
    </xdr:from>
    <xdr:to>
      <xdr:col>3</xdr:col>
      <xdr:colOff>2333625</xdr:colOff>
      <xdr:row>18</xdr:row>
      <xdr:rowOff>439293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38551" y="5895975"/>
          <a:ext cx="2247899" cy="38214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28</xdr:row>
      <xdr:rowOff>38100</xdr:rowOff>
    </xdr:from>
    <xdr:to>
      <xdr:col>3</xdr:col>
      <xdr:colOff>2000250</xdr:colOff>
      <xdr:row>28</xdr:row>
      <xdr:rowOff>422910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9025" y="8839200"/>
          <a:ext cx="1924050" cy="38481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29</xdr:row>
      <xdr:rowOff>38100</xdr:rowOff>
    </xdr:from>
    <xdr:to>
      <xdr:col>3</xdr:col>
      <xdr:colOff>1981199</xdr:colOff>
      <xdr:row>29</xdr:row>
      <xdr:rowOff>406091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67125" y="9315450"/>
          <a:ext cx="1866899" cy="36799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</xdr:colOff>
          <xdr:row>0</xdr:row>
          <xdr:rowOff>104775</xdr:rowOff>
        </xdr:from>
        <xdr:to>
          <xdr:col>2</xdr:col>
          <xdr:colOff>771525</xdr:colOff>
          <xdr:row>0</xdr:row>
          <xdr:rowOff>638175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942975</xdr:colOff>
          <xdr:row>0</xdr:row>
          <xdr:rowOff>104775</xdr:rowOff>
        </xdr:from>
        <xdr:to>
          <xdr:col>3</xdr:col>
          <xdr:colOff>619125</xdr:colOff>
          <xdr:row>0</xdr:row>
          <xdr:rowOff>638175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104775</xdr:colOff>
      <xdr:row>42</xdr:row>
      <xdr:rowOff>76200</xdr:rowOff>
    </xdr:from>
    <xdr:to>
      <xdr:col>3</xdr:col>
      <xdr:colOff>1809537</xdr:colOff>
      <xdr:row>42</xdr:row>
      <xdr:rowOff>466676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57600" y="15087600"/>
          <a:ext cx="1704762" cy="3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51</xdr:row>
      <xdr:rowOff>66675</xdr:rowOff>
    </xdr:from>
    <xdr:to>
      <xdr:col>3</xdr:col>
      <xdr:colOff>1419057</xdr:colOff>
      <xdr:row>51</xdr:row>
      <xdr:rowOff>380961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29025" y="17821275"/>
          <a:ext cx="1342857" cy="3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52</xdr:row>
      <xdr:rowOff>66675</xdr:rowOff>
    </xdr:from>
    <xdr:to>
      <xdr:col>3</xdr:col>
      <xdr:colOff>2219056</xdr:colOff>
      <xdr:row>52</xdr:row>
      <xdr:rowOff>723900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19500" y="18259425"/>
          <a:ext cx="2152381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55</xdr:row>
      <xdr:rowOff>47625</xdr:rowOff>
    </xdr:from>
    <xdr:to>
      <xdr:col>3</xdr:col>
      <xdr:colOff>1276211</xdr:colOff>
      <xdr:row>55</xdr:row>
      <xdr:rowOff>380958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14750" y="19611975"/>
          <a:ext cx="1114286" cy="3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1524001</xdr:colOff>
      <xdr:row>55</xdr:row>
      <xdr:rowOff>57150</xdr:rowOff>
    </xdr:from>
    <xdr:to>
      <xdr:col>3</xdr:col>
      <xdr:colOff>2736272</xdr:colOff>
      <xdr:row>55</xdr:row>
      <xdr:rowOff>333375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76826" y="19678650"/>
          <a:ext cx="1212271" cy="2762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57</xdr:row>
      <xdr:rowOff>47625</xdr:rowOff>
    </xdr:from>
    <xdr:to>
      <xdr:col>3</xdr:col>
      <xdr:colOff>1504775</xdr:colOff>
      <xdr:row>57</xdr:row>
      <xdr:rowOff>371435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57600" y="20088225"/>
          <a:ext cx="1400000" cy="3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64</xdr:row>
      <xdr:rowOff>28575</xdr:rowOff>
    </xdr:from>
    <xdr:to>
      <xdr:col>3</xdr:col>
      <xdr:colOff>1371601</xdr:colOff>
      <xdr:row>64</xdr:row>
      <xdr:rowOff>390278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29026" y="23088600"/>
          <a:ext cx="1295400" cy="36170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67</xdr:row>
      <xdr:rowOff>28575</xdr:rowOff>
    </xdr:from>
    <xdr:to>
      <xdr:col>3</xdr:col>
      <xdr:colOff>1714500</xdr:colOff>
      <xdr:row>67</xdr:row>
      <xdr:rowOff>314736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8075" y="24203025"/>
          <a:ext cx="1619250" cy="28616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69</xdr:row>
      <xdr:rowOff>38101</xdr:rowOff>
    </xdr:from>
    <xdr:to>
      <xdr:col>3</xdr:col>
      <xdr:colOff>1524000</xdr:colOff>
      <xdr:row>69</xdr:row>
      <xdr:rowOff>475169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67126" y="24907876"/>
          <a:ext cx="1409699" cy="43706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71</xdr:row>
      <xdr:rowOff>57149</xdr:rowOff>
    </xdr:from>
    <xdr:to>
      <xdr:col>3</xdr:col>
      <xdr:colOff>1571625</xdr:colOff>
      <xdr:row>71</xdr:row>
      <xdr:rowOff>405940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67125" y="25441274"/>
          <a:ext cx="1457325" cy="34879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74</xdr:row>
      <xdr:rowOff>57151</xdr:rowOff>
    </xdr:from>
    <xdr:to>
      <xdr:col>3</xdr:col>
      <xdr:colOff>1714501</xdr:colOff>
      <xdr:row>74</xdr:row>
      <xdr:rowOff>504171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67126" y="25898476"/>
          <a:ext cx="1600200" cy="44702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73</xdr:row>
      <xdr:rowOff>57150</xdr:rowOff>
    </xdr:from>
    <xdr:to>
      <xdr:col>3</xdr:col>
      <xdr:colOff>1809750</xdr:colOff>
      <xdr:row>73</xdr:row>
      <xdr:rowOff>386437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57600" y="25898475"/>
          <a:ext cx="1704975" cy="329287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84</xdr:row>
      <xdr:rowOff>28574</xdr:rowOff>
    </xdr:from>
    <xdr:to>
      <xdr:col>3</xdr:col>
      <xdr:colOff>1247630</xdr:colOff>
      <xdr:row>84</xdr:row>
      <xdr:rowOff>304751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38550" y="29937074"/>
          <a:ext cx="1161905" cy="27617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85</xdr:row>
      <xdr:rowOff>57150</xdr:rowOff>
    </xdr:from>
    <xdr:to>
      <xdr:col>3</xdr:col>
      <xdr:colOff>1171575</xdr:colOff>
      <xdr:row>85</xdr:row>
      <xdr:rowOff>363505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76650" y="30318075"/>
          <a:ext cx="1047750" cy="30635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103</xdr:row>
      <xdr:rowOff>28575</xdr:rowOff>
    </xdr:from>
    <xdr:to>
      <xdr:col>3</xdr:col>
      <xdr:colOff>1190625</xdr:colOff>
      <xdr:row>103</xdr:row>
      <xdr:rowOff>333184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29025" y="36633150"/>
          <a:ext cx="1114425" cy="30460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105</xdr:row>
      <xdr:rowOff>47625</xdr:rowOff>
    </xdr:from>
    <xdr:to>
      <xdr:col>3</xdr:col>
      <xdr:colOff>2066925</xdr:colOff>
      <xdr:row>105</xdr:row>
      <xdr:rowOff>500097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90925" y="37376100"/>
          <a:ext cx="2028825" cy="452472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108</xdr:row>
      <xdr:rowOff>95250</xdr:rowOff>
    </xdr:from>
    <xdr:to>
      <xdr:col>3</xdr:col>
      <xdr:colOff>2266951</xdr:colOff>
      <xdr:row>108</xdr:row>
      <xdr:rowOff>390558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86176" y="40586025"/>
          <a:ext cx="2133600" cy="29530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114</xdr:row>
      <xdr:rowOff>85725</xdr:rowOff>
    </xdr:from>
    <xdr:to>
      <xdr:col>3</xdr:col>
      <xdr:colOff>1638301</xdr:colOff>
      <xdr:row>114</xdr:row>
      <xdr:rowOff>691135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648076" y="40405050"/>
          <a:ext cx="1543050" cy="605410"/>
        </a:xfrm>
        <a:prstGeom prst="rect">
          <a:avLst/>
        </a:prstGeom>
      </xdr:spPr>
    </xdr:pic>
    <xdr:clientData/>
  </xdr:twoCellAnchor>
  <xdr:twoCellAnchor editAs="oneCell">
    <xdr:from>
      <xdr:col>3</xdr:col>
      <xdr:colOff>1704975</xdr:colOff>
      <xdr:row>114</xdr:row>
      <xdr:rowOff>161925</xdr:rowOff>
    </xdr:from>
    <xdr:to>
      <xdr:col>3</xdr:col>
      <xdr:colOff>2819261</xdr:colOff>
      <xdr:row>114</xdr:row>
      <xdr:rowOff>571449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57800" y="40481250"/>
          <a:ext cx="1114286" cy="4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122</xdr:row>
      <xdr:rowOff>85725</xdr:rowOff>
    </xdr:from>
    <xdr:to>
      <xdr:col>3</xdr:col>
      <xdr:colOff>1828576</xdr:colOff>
      <xdr:row>122</xdr:row>
      <xdr:rowOff>304773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590925" y="44072175"/>
          <a:ext cx="1790476" cy="21904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124</xdr:row>
      <xdr:rowOff>238125</xdr:rowOff>
    </xdr:from>
    <xdr:to>
      <xdr:col>3</xdr:col>
      <xdr:colOff>2161911</xdr:colOff>
      <xdr:row>124</xdr:row>
      <xdr:rowOff>466696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600450" y="44596050"/>
          <a:ext cx="2114286" cy="2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126</xdr:row>
      <xdr:rowOff>85725</xdr:rowOff>
    </xdr:from>
    <xdr:to>
      <xdr:col>3</xdr:col>
      <xdr:colOff>1180957</xdr:colOff>
      <xdr:row>126</xdr:row>
      <xdr:rowOff>476201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90925" y="45034200"/>
          <a:ext cx="1142857" cy="3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132</xdr:row>
      <xdr:rowOff>28575</xdr:rowOff>
    </xdr:from>
    <xdr:to>
      <xdr:col>3</xdr:col>
      <xdr:colOff>2095245</xdr:colOff>
      <xdr:row>132</xdr:row>
      <xdr:rowOff>438099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609975" y="47405925"/>
          <a:ext cx="2038095" cy="4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131</xdr:row>
      <xdr:rowOff>57150</xdr:rowOff>
    </xdr:from>
    <xdr:to>
      <xdr:col>3</xdr:col>
      <xdr:colOff>2285719</xdr:colOff>
      <xdr:row>131</xdr:row>
      <xdr:rowOff>476198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629025" y="46910625"/>
          <a:ext cx="2209519" cy="419048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133</xdr:row>
      <xdr:rowOff>38100</xdr:rowOff>
    </xdr:from>
    <xdr:to>
      <xdr:col>3</xdr:col>
      <xdr:colOff>2361916</xdr:colOff>
      <xdr:row>133</xdr:row>
      <xdr:rowOff>447624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638550" y="47882175"/>
          <a:ext cx="2276191" cy="4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134</xdr:row>
      <xdr:rowOff>28575</xdr:rowOff>
    </xdr:from>
    <xdr:to>
      <xdr:col>3</xdr:col>
      <xdr:colOff>2438101</xdr:colOff>
      <xdr:row>134</xdr:row>
      <xdr:rowOff>466670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00450" y="48387000"/>
          <a:ext cx="2390476" cy="4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142</xdr:row>
      <xdr:rowOff>47625</xdr:rowOff>
    </xdr:from>
    <xdr:to>
      <xdr:col>3</xdr:col>
      <xdr:colOff>2380962</xdr:colOff>
      <xdr:row>142</xdr:row>
      <xdr:rowOff>447625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29025" y="50253900"/>
          <a:ext cx="2304762" cy="4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144</xdr:row>
      <xdr:rowOff>9525</xdr:rowOff>
    </xdr:from>
    <xdr:to>
      <xdr:col>3</xdr:col>
      <xdr:colOff>1400007</xdr:colOff>
      <xdr:row>144</xdr:row>
      <xdr:rowOff>409525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609975" y="50739675"/>
          <a:ext cx="1342857" cy="4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146</xdr:row>
      <xdr:rowOff>85725</xdr:rowOff>
    </xdr:from>
    <xdr:to>
      <xdr:col>3</xdr:col>
      <xdr:colOff>1428583</xdr:colOff>
      <xdr:row>146</xdr:row>
      <xdr:rowOff>485725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648075" y="51282600"/>
          <a:ext cx="1333333" cy="4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152</xdr:row>
      <xdr:rowOff>57151</xdr:rowOff>
    </xdr:from>
    <xdr:to>
      <xdr:col>3</xdr:col>
      <xdr:colOff>1857375</xdr:colOff>
      <xdr:row>152</xdr:row>
      <xdr:rowOff>899361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695700" y="53644801"/>
          <a:ext cx="1714500" cy="84221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154</xdr:row>
      <xdr:rowOff>85725</xdr:rowOff>
    </xdr:from>
    <xdr:to>
      <xdr:col>3</xdr:col>
      <xdr:colOff>1295252</xdr:colOff>
      <xdr:row>154</xdr:row>
      <xdr:rowOff>457154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667125" y="55035450"/>
          <a:ext cx="1180952" cy="37142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156</xdr:row>
      <xdr:rowOff>66675</xdr:rowOff>
    </xdr:from>
    <xdr:to>
      <xdr:col>3</xdr:col>
      <xdr:colOff>1609725</xdr:colOff>
      <xdr:row>156</xdr:row>
      <xdr:rowOff>409144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648075" y="55540275"/>
          <a:ext cx="1514475" cy="34246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165</xdr:row>
      <xdr:rowOff>66675</xdr:rowOff>
    </xdr:from>
    <xdr:to>
      <xdr:col>3</xdr:col>
      <xdr:colOff>1257157</xdr:colOff>
      <xdr:row>165</xdr:row>
      <xdr:rowOff>457151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667125" y="59131200"/>
          <a:ext cx="1142857" cy="39047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1104900</xdr:colOff>
          <xdr:row>0</xdr:row>
          <xdr:rowOff>85725</xdr:rowOff>
        </xdr:from>
        <xdr:to>
          <xdr:col>3</xdr:col>
          <xdr:colOff>2019300</xdr:colOff>
          <xdr:row>0</xdr:row>
          <xdr:rowOff>647700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17</xdr:row>
      <xdr:rowOff>66675</xdr:rowOff>
    </xdr:from>
    <xdr:to>
      <xdr:col>3</xdr:col>
      <xdr:colOff>2381250</xdr:colOff>
      <xdr:row>17</xdr:row>
      <xdr:rowOff>493038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6429375"/>
          <a:ext cx="2276475" cy="42636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18</xdr:row>
      <xdr:rowOff>57150</xdr:rowOff>
    </xdr:from>
    <xdr:to>
      <xdr:col>3</xdr:col>
      <xdr:colOff>2333625</xdr:colOff>
      <xdr:row>18</xdr:row>
      <xdr:rowOff>439293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38551" y="6972300"/>
          <a:ext cx="2247899" cy="38214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28</xdr:row>
      <xdr:rowOff>38100</xdr:rowOff>
    </xdr:from>
    <xdr:to>
      <xdr:col>3</xdr:col>
      <xdr:colOff>2000250</xdr:colOff>
      <xdr:row>28</xdr:row>
      <xdr:rowOff>422910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9025" y="9953625"/>
          <a:ext cx="1924050" cy="38481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29</xdr:row>
      <xdr:rowOff>38100</xdr:rowOff>
    </xdr:from>
    <xdr:to>
      <xdr:col>3</xdr:col>
      <xdr:colOff>1981199</xdr:colOff>
      <xdr:row>29</xdr:row>
      <xdr:rowOff>406091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67125" y="10429875"/>
          <a:ext cx="1866899" cy="36799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0</xdr:row>
          <xdr:rowOff>200025</xdr:rowOff>
        </xdr:from>
        <xdr:to>
          <xdr:col>2</xdr:col>
          <xdr:colOff>752475</xdr:colOff>
          <xdr:row>0</xdr:row>
          <xdr:rowOff>733425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1076325</xdr:colOff>
          <xdr:row>0</xdr:row>
          <xdr:rowOff>200025</xdr:rowOff>
        </xdr:from>
        <xdr:to>
          <xdr:col>3</xdr:col>
          <xdr:colOff>752475</xdr:colOff>
          <xdr:row>0</xdr:row>
          <xdr:rowOff>733425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104775</xdr:colOff>
      <xdr:row>42</xdr:row>
      <xdr:rowOff>76200</xdr:rowOff>
    </xdr:from>
    <xdr:to>
      <xdr:col>3</xdr:col>
      <xdr:colOff>1809537</xdr:colOff>
      <xdr:row>42</xdr:row>
      <xdr:rowOff>466676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57600" y="15144750"/>
          <a:ext cx="1704762" cy="3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51</xdr:row>
      <xdr:rowOff>66675</xdr:rowOff>
    </xdr:from>
    <xdr:to>
      <xdr:col>3</xdr:col>
      <xdr:colOff>1419057</xdr:colOff>
      <xdr:row>51</xdr:row>
      <xdr:rowOff>380961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29025" y="17878425"/>
          <a:ext cx="1342857" cy="3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52</xdr:row>
      <xdr:rowOff>66675</xdr:rowOff>
    </xdr:from>
    <xdr:to>
      <xdr:col>3</xdr:col>
      <xdr:colOff>2219056</xdr:colOff>
      <xdr:row>52</xdr:row>
      <xdr:rowOff>723900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19500" y="18316575"/>
          <a:ext cx="2152381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55</xdr:row>
      <xdr:rowOff>47625</xdr:rowOff>
    </xdr:from>
    <xdr:to>
      <xdr:col>3</xdr:col>
      <xdr:colOff>1276211</xdr:colOff>
      <xdr:row>55</xdr:row>
      <xdr:rowOff>380958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14750" y="19669125"/>
          <a:ext cx="1114286" cy="3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1524001</xdr:colOff>
      <xdr:row>55</xdr:row>
      <xdr:rowOff>57150</xdr:rowOff>
    </xdr:from>
    <xdr:to>
      <xdr:col>3</xdr:col>
      <xdr:colOff>2736272</xdr:colOff>
      <xdr:row>55</xdr:row>
      <xdr:rowOff>333375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76826" y="19678650"/>
          <a:ext cx="1212271" cy="2762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57</xdr:row>
      <xdr:rowOff>47625</xdr:rowOff>
    </xdr:from>
    <xdr:to>
      <xdr:col>3</xdr:col>
      <xdr:colOff>1504775</xdr:colOff>
      <xdr:row>57</xdr:row>
      <xdr:rowOff>371435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57600" y="20507325"/>
          <a:ext cx="1400000" cy="3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64</xdr:row>
      <xdr:rowOff>28575</xdr:rowOff>
    </xdr:from>
    <xdr:to>
      <xdr:col>3</xdr:col>
      <xdr:colOff>1371601</xdr:colOff>
      <xdr:row>64</xdr:row>
      <xdr:rowOff>390278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29026" y="23488650"/>
          <a:ext cx="1295400" cy="36170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67</xdr:row>
      <xdr:rowOff>28575</xdr:rowOff>
    </xdr:from>
    <xdr:to>
      <xdr:col>3</xdr:col>
      <xdr:colOff>1714500</xdr:colOff>
      <xdr:row>67</xdr:row>
      <xdr:rowOff>314736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8075" y="24603075"/>
          <a:ext cx="1619250" cy="28616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69</xdr:row>
      <xdr:rowOff>38101</xdr:rowOff>
    </xdr:from>
    <xdr:to>
      <xdr:col>3</xdr:col>
      <xdr:colOff>1524000</xdr:colOff>
      <xdr:row>69</xdr:row>
      <xdr:rowOff>475169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67126" y="25298401"/>
          <a:ext cx="1409699" cy="43706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71</xdr:row>
      <xdr:rowOff>57149</xdr:rowOff>
    </xdr:from>
    <xdr:to>
      <xdr:col>3</xdr:col>
      <xdr:colOff>1571625</xdr:colOff>
      <xdr:row>71</xdr:row>
      <xdr:rowOff>405940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67125" y="26088974"/>
          <a:ext cx="1457325" cy="34879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74</xdr:row>
      <xdr:rowOff>57151</xdr:rowOff>
    </xdr:from>
    <xdr:to>
      <xdr:col>3</xdr:col>
      <xdr:colOff>1714501</xdr:colOff>
      <xdr:row>74</xdr:row>
      <xdr:rowOff>504171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67126" y="27460576"/>
          <a:ext cx="1600200" cy="44702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73</xdr:row>
      <xdr:rowOff>57150</xdr:rowOff>
    </xdr:from>
    <xdr:to>
      <xdr:col>3</xdr:col>
      <xdr:colOff>1809750</xdr:colOff>
      <xdr:row>73</xdr:row>
      <xdr:rowOff>386437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57600" y="27003375"/>
          <a:ext cx="1704975" cy="329287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84</xdr:row>
      <xdr:rowOff>28574</xdr:rowOff>
    </xdr:from>
    <xdr:to>
      <xdr:col>3</xdr:col>
      <xdr:colOff>1247630</xdr:colOff>
      <xdr:row>84</xdr:row>
      <xdr:rowOff>304751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38550" y="31622999"/>
          <a:ext cx="1161905" cy="27617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85</xdr:row>
      <xdr:rowOff>57150</xdr:rowOff>
    </xdr:from>
    <xdr:to>
      <xdr:col>3</xdr:col>
      <xdr:colOff>1171575</xdr:colOff>
      <xdr:row>85</xdr:row>
      <xdr:rowOff>363505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76650" y="32004000"/>
          <a:ext cx="1047750" cy="30635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103</xdr:row>
      <xdr:rowOff>28575</xdr:rowOff>
    </xdr:from>
    <xdr:to>
      <xdr:col>3</xdr:col>
      <xdr:colOff>1190625</xdr:colOff>
      <xdr:row>103</xdr:row>
      <xdr:rowOff>333184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29025" y="38319075"/>
          <a:ext cx="1114425" cy="30460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105</xdr:row>
      <xdr:rowOff>47625</xdr:rowOff>
    </xdr:from>
    <xdr:to>
      <xdr:col>3</xdr:col>
      <xdr:colOff>2066925</xdr:colOff>
      <xdr:row>105</xdr:row>
      <xdr:rowOff>500097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90925" y="39062025"/>
          <a:ext cx="2028825" cy="452472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108</xdr:row>
      <xdr:rowOff>95250</xdr:rowOff>
    </xdr:from>
    <xdr:to>
      <xdr:col>3</xdr:col>
      <xdr:colOff>2266951</xdr:colOff>
      <xdr:row>108</xdr:row>
      <xdr:rowOff>390558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86176" y="40586025"/>
          <a:ext cx="2133600" cy="29530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114</xdr:row>
      <xdr:rowOff>85725</xdr:rowOff>
    </xdr:from>
    <xdr:to>
      <xdr:col>3</xdr:col>
      <xdr:colOff>1638301</xdr:colOff>
      <xdr:row>114</xdr:row>
      <xdr:rowOff>691135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648076" y="43043475"/>
          <a:ext cx="1543050" cy="605410"/>
        </a:xfrm>
        <a:prstGeom prst="rect">
          <a:avLst/>
        </a:prstGeom>
      </xdr:spPr>
    </xdr:pic>
    <xdr:clientData/>
  </xdr:twoCellAnchor>
  <xdr:twoCellAnchor editAs="oneCell">
    <xdr:from>
      <xdr:col>3</xdr:col>
      <xdr:colOff>1704975</xdr:colOff>
      <xdr:row>114</xdr:row>
      <xdr:rowOff>161925</xdr:rowOff>
    </xdr:from>
    <xdr:to>
      <xdr:col>3</xdr:col>
      <xdr:colOff>2819261</xdr:colOff>
      <xdr:row>114</xdr:row>
      <xdr:rowOff>571449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57800" y="43119675"/>
          <a:ext cx="1114286" cy="4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122</xdr:row>
      <xdr:rowOff>85725</xdr:rowOff>
    </xdr:from>
    <xdr:to>
      <xdr:col>3</xdr:col>
      <xdr:colOff>1828576</xdr:colOff>
      <xdr:row>122</xdr:row>
      <xdr:rowOff>304773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590925" y="46882050"/>
          <a:ext cx="1790476" cy="21904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124</xdr:row>
      <xdr:rowOff>238125</xdr:rowOff>
    </xdr:from>
    <xdr:to>
      <xdr:col>3</xdr:col>
      <xdr:colOff>2161911</xdr:colOff>
      <xdr:row>124</xdr:row>
      <xdr:rowOff>466696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600450" y="47682150"/>
          <a:ext cx="2114286" cy="2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126</xdr:row>
      <xdr:rowOff>85725</xdr:rowOff>
    </xdr:from>
    <xdr:to>
      <xdr:col>3</xdr:col>
      <xdr:colOff>1180957</xdr:colOff>
      <xdr:row>126</xdr:row>
      <xdr:rowOff>476201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90925" y="48387000"/>
          <a:ext cx="1142857" cy="3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132</xdr:row>
      <xdr:rowOff>28575</xdr:rowOff>
    </xdr:from>
    <xdr:to>
      <xdr:col>3</xdr:col>
      <xdr:colOff>2095245</xdr:colOff>
      <xdr:row>132</xdr:row>
      <xdr:rowOff>438099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609975" y="51054000"/>
          <a:ext cx="2038095" cy="4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131</xdr:row>
      <xdr:rowOff>57150</xdr:rowOff>
    </xdr:from>
    <xdr:to>
      <xdr:col>3</xdr:col>
      <xdr:colOff>2285719</xdr:colOff>
      <xdr:row>131</xdr:row>
      <xdr:rowOff>476198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629025" y="50558700"/>
          <a:ext cx="2209519" cy="419048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133</xdr:row>
      <xdr:rowOff>38100</xdr:rowOff>
    </xdr:from>
    <xdr:to>
      <xdr:col>3</xdr:col>
      <xdr:colOff>2361916</xdr:colOff>
      <xdr:row>133</xdr:row>
      <xdr:rowOff>447624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638550" y="51530250"/>
          <a:ext cx="2276191" cy="4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134</xdr:row>
      <xdr:rowOff>28575</xdr:rowOff>
    </xdr:from>
    <xdr:to>
      <xdr:col>3</xdr:col>
      <xdr:colOff>2438101</xdr:colOff>
      <xdr:row>134</xdr:row>
      <xdr:rowOff>466670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00450" y="52035075"/>
          <a:ext cx="2390476" cy="4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142</xdr:row>
      <xdr:rowOff>47625</xdr:rowOff>
    </xdr:from>
    <xdr:to>
      <xdr:col>3</xdr:col>
      <xdr:colOff>2380962</xdr:colOff>
      <xdr:row>142</xdr:row>
      <xdr:rowOff>447625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29025" y="55245000"/>
          <a:ext cx="2304762" cy="4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144</xdr:row>
      <xdr:rowOff>9525</xdr:rowOff>
    </xdr:from>
    <xdr:to>
      <xdr:col>3</xdr:col>
      <xdr:colOff>1400007</xdr:colOff>
      <xdr:row>144</xdr:row>
      <xdr:rowOff>409525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609975" y="56254650"/>
          <a:ext cx="1342857" cy="4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146</xdr:row>
      <xdr:rowOff>85725</xdr:rowOff>
    </xdr:from>
    <xdr:to>
      <xdr:col>3</xdr:col>
      <xdr:colOff>1428583</xdr:colOff>
      <xdr:row>146</xdr:row>
      <xdr:rowOff>485725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648075" y="57264300"/>
          <a:ext cx="1333333" cy="4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152</xdr:row>
      <xdr:rowOff>57151</xdr:rowOff>
    </xdr:from>
    <xdr:to>
      <xdr:col>3</xdr:col>
      <xdr:colOff>1857375</xdr:colOff>
      <xdr:row>152</xdr:row>
      <xdr:rowOff>899361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695700" y="60150376"/>
          <a:ext cx="1714500" cy="84221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154</xdr:row>
      <xdr:rowOff>85725</xdr:rowOff>
    </xdr:from>
    <xdr:to>
      <xdr:col>3</xdr:col>
      <xdr:colOff>1295252</xdr:colOff>
      <xdr:row>154</xdr:row>
      <xdr:rowOff>457154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667125" y="62064900"/>
          <a:ext cx="1180952" cy="37142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156</xdr:row>
      <xdr:rowOff>66675</xdr:rowOff>
    </xdr:from>
    <xdr:to>
      <xdr:col>3</xdr:col>
      <xdr:colOff>1609725</xdr:colOff>
      <xdr:row>156</xdr:row>
      <xdr:rowOff>409144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648075" y="63093600"/>
          <a:ext cx="1514475" cy="34246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165</xdr:row>
      <xdr:rowOff>66675</xdr:rowOff>
    </xdr:from>
    <xdr:to>
      <xdr:col>3</xdr:col>
      <xdr:colOff>1257157</xdr:colOff>
      <xdr:row>165</xdr:row>
      <xdr:rowOff>457151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667125" y="67132200"/>
          <a:ext cx="1142857" cy="3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41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67"/>
  <sheetViews>
    <sheetView workbookViewId="0">
      <selection activeCell="G3" sqref="G3"/>
    </sheetView>
  </sheetViews>
  <sheetFormatPr defaultRowHeight="13.5" x14ac:dyDescent="0.15"/>
  <cols>
    <col min="1" max="1" width="9" style="15" customWidth="1"/>
    <col min="2" max="2" width="13.25" style="15" customWidth="1"/>
    <col min="3" max="3" width="24.375" style="1" customWidth="1"/>
    <col min="4" max="4" width="38.875" style="1" customWidth="1"/>
    <col min="5" max="5" width="13.25" style="15" customWidth="1"/>
    <col min="6" max="6" width="9" style="15"/>
    <col min="7" max="7" width="12.25" style="15" customWidth="1"/>
  </cols>
  <sheetData>
    <row r="1" spans="1:7" ht="72.75" customHeight="1" thickBot="1" x14ac:dyDescent="0.2">
      <c r="A1" s="62" t="s">
        <v>80</v>
      </c>
      <c r="B1" s="62"/>
      <c r="C1" s="62"/>
      <c r="D1" s="62"/>
      <c r="E1" s="62"/>
      <c r="F1" s="62"/>
    </row>
    <row r="2" spans="1:7" s="15" customFormat="1" ht="29.25" customHeight="1" x14ac:dyDescent="0.15">
      <c r="A2" s="28" t="s">
        <v>9</v>
      </c>
      <c r="B2" s="29" t="s">
        <v>5</v>
      </c>
      <c r="C2" s="29" t="s">
        <v>6</v>
      </c>
      <c r="D2" s="29" t="s">
        <v>7</v>
      </c>
      <c r="E2" s="29" t="s">
        <v>8</v>
      </c>
      <c r="F2" s="30" t="s">
        <v>37</v>
      </c>
      <c r="G2" s="23"/>
    </row>
    <row r="3" spans="1:7" s="15" customFormat="1" ht="24" customHeight="1" x14ac:dyDescent="0.15">
      <c r="A3" s="63" t="s">
        <v>39</v>
      </c>
      <c r="B3" s="64"/>
      <c r="C3" s="64"/>
      <c r="D3" s="64"/>
      <c r="E3" s="24">
        <v>12</v>
      </c>
      <c r="F3" s="4" t="s">
        <v>10</v>
      </c>
      <c r="G3" s="23"/>
    </row>
    <row r="4" spans="1:7" s="15" customFormat="1" ht="24" customHeight="1" x14ac:dyDescent="0.15">
      <c r="A4" s="63"/>
      <c r="B4" s="64"/>
      <c r="C4" s="64"/>
      <c r="D4" s="64"/>
      <c r="E4" s="24">
        <v>22</v>
      </c>
      <c r="F4" s="4" t="s">
        <v>38</v>
      </c>
      <c r="G4" s="23"/>
    </row>
    <row r="5" spans="1:7" x14ac:dyDescent="0.15">
      <c r="A5" s="7">
        <v>1</v>
      </c>
      <c r="B5" s="3" t="s">
        <v>10</v>
      </c>
      <c r="C5" s="17" t="s">
        <v>23</v>
      </c>
      <c r="D5" s="17"/>
      <c r="E5" s="3">
        <f>E3</f>
        <v>12</v>
      </c>
      <c r="F5" s="4" t="s">
        <v>10</v>
      </c>
      <c r="G5" s="23"/>
    </row>
    <row r="6" spans="1:7" x14ac:dyDescent="0.15">
      <c r="A6" s="7">
        <v>2</v>
      </c>
      <c r="B6" s="3" t="s">
        <v>11</v>
      </c>
      <c r="C6" s="17" t="s">
        <v>24</v>
      </c>
      <c r="D6" s="17" t="s">
        <v>25</v>
      </c>
      <c r="E6" s="3">
        <f>E5/2</f>
        <v>6</v>
      </c>
      <c r="F6" s="4" t="s">
        <v>78</v>
      </c>
      <c r="G6" s="23"/>
    </row>
    <row r="7" spans="1:7" ht="27" x14ac:dyDescent="0.15">
      <c r="A7" s="7">
        <v>3</v>
      </c>
      <c r="B7" s="3" t="s">
        <v>35</v>
      </c>
      <c r="C7" s="17" t="s">
        <v>24</v>
      </c>
      <c r="D7" s="19" t="s">
        <v>26</v>
      </c>
      <c r="E7" s="3">
        <f>E4/10</f>
        <v>2.2000000000000002</v>
      </c>
      <c r="F7" s="4" t="s">
        <v>38</v>
      </c>
      <c r="G7" s="23"/>
    </row>
    <row r="8" spans="1:7" ht="27" x14ac:dyDescent="0.15">
      <c r="A8" s="7">
        <v>4</v>
      </c>
      <c r="B8" s="3" t="s">
        <v>12</v>
      </c>
      <c r="C8" s="17" t="s">
        <v>27</v>
      </c>
      <c r="D8" s="19" t="s">
        <v>28</v>
      </c>
      <c r="E8" s="3">
        <v>2.2749999999999999</v>
      </c>
      <c r="F8" s="4" t="s">
        <v>10</v>
      </c>
      <c r="G8" s="23"/>
    </row>
    <row r="9" spans="1:7" ht="27" x14ac:dyDescent="0.15">
      <c r="A9" s="7">
        <v>5</v>
      </c>
      <c r="B9" s="3" t="s">
        <v>13</v>
      </c>
      <c r="C9" s="17" t="s">
        <v>29</v>
      </c>
      <c r="D9" s="19" t="s">
        <v>30</v>
      </c>
      <c r="E9" s="3">
        <v>2.4300000000000002</v>
      </c>
      <c r="F9" s="4" t="s">
        <v>10</v>
      </c>
      <c r="G9" s="23"/>
    </row>
    <row r="10" spans="1:7" ht="27" x14ac:dyDescent="0.15">
      <c r="A10" s="7">
        <v>6</v>
      </c>
      <c r="B10" s="3" t="s">
        <v>14</v>
      </c>
      <c r="C10" s="17" t="s">
        <v>31</v>
      </c>
      <c r="D10" s="19" t="s">
        <v>32</v>
      </c>
      <c r="E10" s="3">
        <v>1.75</v>
      </c>
      <c r="F10" s="4" t="s">
        <v>10</v>
      </c>
      <c r="G10" s="23"/>
    </row>
    <row r="11" spans="1:7" ht="27" x14ac:dyDescent="0.15">
      <c r="A11" s="7">
        <v>7</v>
      </c>
      <c r="B11" s="20" t="s">
        <v>34</v>
      </c>
      <c r="C11" s="19" t="s">
        <v>33</v>
      </c>
      <c r="D11" s="19" t="s">
        <v>36</v>
      </c>
      <c r="E11" s="3">
        <f>0.01*E7*1000</f>
        <v>22.000000000000004</v>
      </c>
      <c r="F11" s="4" t="s">
        <v>40</v>
      </c>
      <c r="G11" s="23"/>
    </row>
    <row r="12" spans="1:7" ht="27" x14ac:dyDescent="0.15">
      <c r="A12" s="7">
        <v>8</v>
      </c>
      <c r="B12" s="20" t="s">
        <v>15</v>
      </c>
      <c r="C12" s="19" t="s">
        <v>41</v>
      </c>
      <c r="D12" s="19" t="s">
        <v>44</v>
      </c>
      <c r="E12" s="3">
        <v>0.8</v>
      </c>
      <c r="F12" s="4" t="s">
        <v>42</v>
      </c>
      <c r="G12" s="23"/>
    </row>
    <row r="13" spans="1:7" ht="27" x14ac:dyDescent="0.15">
      <c r="A13" s="7">
        <v>9</v>
      </c>
      <c r="B13" s="20" t="s">
        <v>45</v>
      </c>
      <c r="C13" s="19" t="s">
        <v>43</v>
      </c>
      <c r="D13" s="19" t="s">
        <v>46</v>
      </c>
      <c r="E13" s="3">
        <f>0.25*E12</f>
        <v>0.2</v>
      </c>
      <c r="F13" s="4" t="s">
        <v>42</v>
      </c>
      <c r="G13" s="23"/>
    </row>
    <row r="14" spans="1:7" ht="54" x14ac:dyDescent="0.15">
      <c r="A14" s="7">
        <v>10</v>
      </c>
      <c r="B14" s="20" t="s">
        <v>16</v>
      </c>
      <c r="C14" s="19" t="s">
        <v>47</v>
      </c>
      <c r="D14" s="19" t="s">
        <v>48</v>
      </c>
      <c r="E14" s="3">
        <v>-3.9</v>
      </c>
      <c r="F14" s="4" t="s">
        <v>49</v>
      </c>
      <c r="G14" s="23"/>
    </row>
    <row r="15" spans="1:7" ht="27" x14ac:dyDescent="0.15">
      <c r="A15" s="7">
        <v>11</v>
      </c>
      <c r="B15" s="20" t="s">
        <v>17</v>
      </c>
      <c r="C15" s="19" t="s">
        <v>50</v>
      </c>
      <c r="D15" s="17" t="s">
        <v>56</v>
      </c>
      <c r="E15" s="3">
        <v>-10</v>
      </c>
      <c r="F15" s="4" t="s">
        <v>58</v>
      </c>
      <c r="G15" s="23"/>
    </row>
    <row r="16" spans="1:7" ht="27" x14ac:dyDescent="0.15">
      <c r="A16" s="7">
        <v>12</v>
      </c>
      <c r="B16" s="20" t="s">
        <v>18</v>
      </c>
      <c r="C16" s="19" t="s">
        <v>51</v>
      </c>
      <c r="D16" s="17" t="s">
        <v>56</v>
      </c>
      <c r="E16" s="3">
        <v>50</v>
      </c>
      <c r="F16" s="4" t="s">
        <v>58</v>
      </c>
      <c r="G16" s="23"/>
    </row>
    <row r="17" spans="1:7" ht="27" x14ac:dyDescent="0.15">
      <c r="A17" s="7">
        <v>13</v>
      </c>
      <c r="B17" s="20" t="s">
        <v>19</v>
      </c>
      <c r="C17" s="17" t="s">
        <v>52</v>
      </c>
      <c r="D17" s="19" t="s">
        <v>57</v>
      </c>
      <c r="E17" s="3">
        <f>E8*E6</f>
        <v>13.649999999999999</v>
      </c>
      <c r="F17" s="4" t="s">
        <v>10</v>
      </c>
      <c r="G17" s="23"/>
    </row>
    <row r="18" spans="1:7" ht="43.5" customHeight="1" x14ac:dyDescent="0.15">
      <c r="A18" s="7">
        <v>14</v>
      </c>
      <c r="B18" s="20" t="s">
        <v>20</v>
      </c>
      <c r="C18" s="17" t="s">
        <v>53</v>
      </c>
      <c r="D18" s="17"/>
      <c r="E18" s="25">
        <f>(E10+(E16-25)*E14/1000)*E6</f>
        <v>9.9150000000000009</v>
      </c>
      <c r="F18" s="4" t="s">
        <v>10</v>
      </c>
      <c r="G18" s="23"/>
    </row>
    <row r="19" spans="1:7" ht="37.5" customHeight="1" x14ac:dyDescent="0.15">
      <c r="A19" s="7">
        <v>15</v>
      </c>
      <c r="B19" s="20" t="s">
        <v>21</v>
      </c>
      <c r="C19" s="17" t="s">
        <v>54</v>
      </c>
      <c r="D19" s="17"/>
      <c r="E19" s="25">
        <f>(E9+(E15-25)*E14/1000)*E6</f>
        <v>15.399000000000001</v>
      </c>
      <c r="F19" s="4" t="s">
        <v>10</v>
      </c>
      <c r="G19" s="23"/>
    </row>
    <row r="20" spans="1:7" ht="14.25" thickBot="1" x14ac:dyDescent="0.2">
      <c r="A20" s="22">
        <v>16</v>
      </c>
      <c r="B20" s="21" t="s">
        <v>22</v>
      </c>
      <c r="C20" s="18" t="s">
        <v>55</v>
      </c>
      <c r="D20" s="18" t="s">
        <v>59</v>
      </c>
      <c r="E20" s="27">
        <f>E12*E19</f>
        <v>12.319200000000002</v>
      </c>
      <c r="F20" s="6" t="s">
        <v>60</v>
      </c>
      <c r="G20" s="23"/>
    </row>
    <row r="21" spans="1:7" ht="27.75" customHeight="1" thickBot="1" x14ac:dyDescent="0.2"/>
    <row r="22" spans="1:7" ht="24.75" customHeight="1" x14ac:dyDescent="0.15">
      <c r="A22" s="28" t="s">
        <v>9</v>
      </c>
      <c r="B22" s="29" t="s">
        <v>5</v>
      </c>
      <c r="C22" s="29" t="s">
        <v>6</v>
      </c>
      <c r="D22" s="29" t="s">
        <v>7</v>
      </c>
      <c r="E22" s="29" t="s">
        <v>8</v>
      </c>
      <c r="F22" s="30" t="s">
        <v>37</v>
      </c>
    </row>
    <row r="23" spans="1:7" ht="37.5" customHeight="1" x14ac:dyDescent="0.15">
      <c r="A23" s="63" t="s">
        <v>61</v>
      </c>
      <c r="B23" s="64"/>
      <c r="C23" s="64"/>
      <c r="D23" s="64"/>
      <c r="E23" s="2"/>
      <c r="F23" s="4"/>
    </row>
    <row r="24" spans="1:7" x14ac:dyDescent="0.15">
      <c r="A24" s="7">
        <v>1</v>
      </c>
      <c r="B24" s="3" t="s">
        <v>69</v>
      </c>
      <c r="C24" s="17" t="s">
        <v>62</v>
      </c>
      <c r="D24" s="17"/>
      <c r="E24" s="3">
        <v>18</v>
      </c>
      <c r="F24" s="4" t="s">
        <v>10</v>
      </c>
    </row>
    <row r="25" spans="1:7" x14ac:dyDescent="0.15">
      <c r="A25" s="7">
        <v>2</v>
      </c>
      <c r="B25" s="3" t="s">
        <v>70</v>
      </c>
      <c r="C25" s="17" t="s">
        <v>63</v>
      </c>
      <c r="D25" s="17"/>
      <c r="E25" s="3">
        <v>30</v>
      </c>
      <c r="F25" s="4" t="s">
        <v>10</v>
      </c>
    </row>
    <row r="26" spans="1:7" x14ac:dyDescent="0.15">
      <c r="A26" s="7">
        <v>3</v>
      </c>
      <c r="B26" s="3" t="s">
        <v>71</v>
      </c>
      <c r="C26" s="17" t="s">
        <v>64</v>
      </c>
      <c r="D26" s="19"/>
      <c r="E26" s="50">
        <f>1*1000/1.2/E114/E115</f>
        <v>50.005000500050016</v>
      </c>
      <c r="F26" s="4" t="s">
        <v>77</v>
      </c>
    </row>
    <row r="27" spans="1:7" ht="27" x14ac:dyDescent="0.15">
      <c r="A27" s="7">
        <v>4</v>
      </c>
      <c r="B27" s="3" t="s">
        <v>72</v>
      </c>
      <c r="C27" s="19" t="s">
        <v>65</v>
      </c>
      <c r="D27" s="19" t="s">
        <v>76</v>
      </c>
      <c r="E27" s="3">
        <v>0.59</v>
      </c>
      <c r="F27" s="4" t="s">
        <v>10</v>
      </c>
    </row>
    <row r="28" spans="1:7" ht="27" x14ac:dyDescent="0.15">
      <c r="A28" s="7">
        <v>5</v>
      </c>
      <c r="B28" s="3" t="s">
        <v>73</v>
      </c>
      <c r="C28" s="19" t="s">
        <v>66</v>
      </c>
      <c r="D28" s="19" t="s">
        <v>76</v>
      </c>
      <c r="E28" s="3">
        <v>0.73</v>
      </c>
      <c r="F28" s="4" t="s">
        <v>10</v>
      </c>
    </row>
    <row r="29" spans="1:7" ht="37.5" customHeight="1" x14ac:dyDescent="0.15">
      <c r="A29" s="7">
        <v>6</v>
      </c>
      <c r="B29" s="3" t="s">
        <v>74</v>
      </c>
      <c r="C29" s="17" t="s">
        <v>67</v>
      </c>
      <c r="D29" s="17"/>
      <c r="E29" s="25">
        <f>(E19+E27+E28)/(E24+E28)</f>
        <v>0.89263214095034704</v>
      </c>
      <c r="F29" s="4" t="s">
        <v>78</v>
      </c>
    </row>
    <row r="30" spans="1:7" ht="34.5" customHeight="1" thickBot="1" x14ac:dyDescent="0.2">
      <c r="A30" s="22">
        <v>7</v>
      </c>
      <c r="B30" s="5" t="s">
        <v>75</v>
      </c>
      <c r="C30" s="18" t="s">
        <v>68</v>
      </c>
      <c r="D30" s="18"/>
      <c r="E30" s="26">
        <f>(E18+E28+E29)/(E25+E28)</f>
        <v>0.37545174555647082</v>
      </c>
      <c r="F30" s="6" t="s">
        <v>78</v>
      </c>
    </row>
    <row r="31" spans="1:7" ht="24.75" customHeight="1" thickBot="1" x14ac:dyDescent="0.2"/>
    <row r="32" spans="1:7" ht="18" customHeight="1" x14ac:dyDescent="0.15">
      <c r="A32" s="28" t="s">
        <v>9</v>
      </c>
      <c r="B32" s="29" t="s">
        <v>5</v>
      </c>
      <c r="C32" s="29" t="s">
        <v>6</v>
      </c>
      <c r="D32" s="29" t="s">
        <v>7</v>
      </c>
      <c r="E32" s="29" t="s">
        <v>8</v>
      </c>
      <c r="F32" s="30" t="s">
        <v>37</v>
      </c>
    </row>
    <row r="33" spans="1:7" ht="35.25" customHeight="1" x14ac:dyDescent="0.15">
      <c r="A33" s="63" t="s">
        <v>79</v>
      </c>
      <c r="B33" s="64"/>
      <c r="C33" s="64"/>
      <c r="D33" s="64"/>
      <c r="E33" s="2"/>
      <c r="F33" s="12"/>
    </row>
    <row r="34" spans="1:7" s="16" customFormat="1" ht="33.75" customHeight="1" x14ac:dyDescent="0.15">
      <c r="A34" s="11">
        <v>1</v>
      </c>
      <c r="B34" s="8" t="s">
        <v>81</v>
      </c>
      <c r="C34" s="19" t="s">
        <v>82</v>
      </c>
      <c r="D34" s="19" t="s">
        <v>84</v>
      </c>
      <c r="E34" s="32">
        <f>1.5*E19</f>
        <v>23.098500000000001</v>
      </c>
      <c r="F34" s="33" t="s">
        <v>10</v>
      </c>
      <c r="G34" s="34"/>
    </row>
    <row r="35" spans="1:7" s="16" customFormat="1" ht="27.75" customHeight="1" x14ac:dyDescent="0.15">
      <c r="A35" s="11">
        <v>2</v>
      </c>
      <c r="B35" s="31" t="s">
        <v>86</v>
      </c>
      <c r="C35" s="19" t="s">
        <v>83</v>
      </c>
      <c r="D35" s="19" t="s">
        <v>85</v>
      </c>
      <c r="E35" s="32">
        <f>2*E12</f>
        <v>1.6</v>
      </c>
      <c r="F35" s="33" t="s">
        <v>42</v>
      </c>
      <c r="G35" s="34"/>
    </row>
    <row r="36" spans="1:7" s="16" customFormat="1" ht="28.5" customHeight="1" x14ac:dyDescent="0.15">
      <c r="A36" s="11">
        <v>3</v>
      </c>
      <c r="B36" s="8" t="s">
        <v>87</v>
      </c>
      <c r="C36" s="19" t="s">
        <v>88</v>
      </c>
      <c r="D36" s="19" t="s">
        <v>89</v>
      </c>
      <c r="E36" s="8" t="s">
        <v>90</v>
      </c>
      <c r="F36" s="33" t="s">
        <v>78</v>
      </c>
      <c r="G36" s="34"/>
    </row>
    <row r="37" spans="1:7" s="16" customFormat="1" ht="42" customHeight="1" x14ac:dyDescent="0.15">
      <c r="A37" s="46">
        <v>4</v>
      </c>
      <c r="B37" s="8" t="s">
        <v>91</v>
      </c>
      <c r="C37" s="19" t="s">
        <v>92</v>
      </c>
      <c r="D37" s="19" t="s">
        <v>93</v>
      </c>
      <c r="E37" s="35">
        <f>E12*E27</f>
        <v>0.47199999999999998</v>
      </c>
      <c r="F37" s="33" t="s">
        <v>60</v>
      </c>
      <c r="G37" s="34"/>
    </row>
    <row r="38" spans="1:7" s="16" customFormat="1" ht="29.25" customHeight="1" x14ac:dyDescent="0.15">
      <c r="A38" s="46">
        <v>5</v>
      </c>
      <c r="B38" s="8" t="s">
        <v>95</v>
      </c>
      <c r="C38" s="19" t="s">
        <v>82</v>
      </c>
      <c r="D38" s="19" t="s">
        <v>96</v>
      </c>
      <c r="E38" s="8">
        <f>1.5*E25</f>
        <v>45</v>
      </c>
      <c r="F38" s="33" t="s">
        <v>10</v>
      </c>
      <c r="G38" s="34"/>
    </row>
    <row r="39" spans="1:7" s="16" customFormat="1" ht="27" x14ac:dyDescent="0.15">
      <c r="A39" s="46">
        <v>6</v>
      </c>
      <c r="B39" s="31" t="s">
        <v>94</v>
      </c>
      <c r="C39" s="19" t="s">
        <v>83</v>
      </c>
      <c r="D39" s="19" t="s">
        <v>85</v>
      </c>
      <c r="E39" s="8">
        <f>2*E12</f>
        <v>1.6</v>
      </c>
      <c r="F39" s="33" t="s">
        <v>42</v>
      </c>
      <c r="G39" s="34"/>
    </row>
    <row r="40" spans="1:7" s="16" customFormat="1" x14ac:dyDescent="0.15">
      <c r="A40" s="46">
        <v>7</v>
      </c>
      <c r="B40" s="8" t="s">
        <v>97</v>
      </c>
      <c r="C40" s="19" t="s">
        <v>98</v>
      </c>
      <c r="D40" s="19" t="s">
        <v>99</v>
      </c>
      <c r="E40" s="8" t="s">
        <v>100</v>
      </c>
      <c r="F40" s="33" t="s">
        <v>78</v>
      </c>
      <c r="G40" s="34"/>
    </row>
    <row r="41" spans="1:7" s="16" customFormat="1" ht="27" x14ac:dyDescent="0.15">
      <c r="A41" s="46">
        <v>8</v>
      </c>
      <c r="B41" s="8" t="s">
        <v>101</v>
      </c>
      <c r="C41" s="19" t="s">
        <v>102</v>
      </c>
      <c r="D41" s="19" t="s">
        <v>103</v>
      </c>
      <c r="E41" s="8">
        <v>35</v>
      </c>
      <c r="F41" s="33" t="s">
        <v>104</v>
      </c>
      <c r="G41" s="34"/>
    </row>
    <row r="42" spans="1:7" s="16" customFormat="1" ht="27" x14ac:dyDescent="0.15">
      <c r="A42" s="46">
        <v>9</v>
      </c>
      <c r="B42" s="8" t="s">
        <v>105</v>
      </c>
      <c r="C42" s="19" t="s">
        <v>106</v>
      </c>
      <c r="D42" s="19" t="s">
        <v>103</v>
      </c>
      <c r="E42" s="8">
        <v>0.5</v>
      </c>
      <c r="F42" s="33" t="s">
        <v>42</v>
      </c>
      <c r="G42" s="34"/>
    </row>
    <row r="43" spans="1:7" s="16" customFormat="1" ht="40.5" x14ac:dyDescent="0.15">
      <c r="A43" s="46">
        <v>10</v>
      </c>
      <c r="B43" s="8" t="s">
        <v>107</v>
      </c>
      <c r="C43" s="19" t="s">
        <v>92</v>
      </c>
      <c r="D43" s="19"/>
      <c r="E43" s="35">
        <f>E12*(1-E30)*E28+0.25*E42*E25*E41*E26/1000000</f>
        <v>0.3712993369106527</v>
      </c>
      <c r="F43" s="33" t="s">
        <v>60</v>
      </c>
      <c r="G43" s="34"/>
    </row>
    <row r="44" spans="1:7" s="16" customFormat="1" ht="40.5" x14ac:dyDescent="0.15">
      <c r="A44" s="46">
        <v>11</v>
      </c>
      <c r="B44" s="8" t="s">
        <v>109</v>
      </c>
      <c r="C44" s="19" t="s">
        <v>110</v>
      </c>
      <c r="D44" s="19" t="s">
        <v>113</v>
      </c>
      <c r="E44" s="8">
        <f>1.5*E25</f>
        <v>45</v>
      </c>
      <c r="F44" s="33" t="s">
        <v>10</v>
      </c>
      <c r="G44" s="34"/>
    </row>
    <row r="45" spans="1:7" s="16" customFormat="1" ht="40.5" x14ac:dyDescent="0.15">
      <c r="A45" s="46">
        <v>12</v>
      </c>
      <c r="B45" s="8" t="s">
        <v>108</v>
      </c>
      <c r="C45" s="19" t="s">
        <v>111</v>
      </c>
      <c r="D45" s="19" t="s">
        <v>112</v>
      </c>
      <c r="E45" s="8">
        <f>4*E12</f>
        <v>3.2</v>
      </c>
      <c r="F45" s="33" t="s">
        <v>42</v>
      </c>
      <c r="G45" s="34"/>
    </row>
    <row r="46" spans="1:7" s="16" customFormat="1" x14ac:dyDescent="0.15">
      <c r="A46" s="46">
        <v>13</v>
      </c>
      <c r="B46" s="8" t="s">
        <v>114</v>
      </c>
      <c r="C46" s="19" t="s">
        <v>115</v>
      </c>
      <c r="D46" s="19" t="s">
        <v>116</v>
      </c>
      <c r="E46" s="8" t="s">
        <v>117</v>
      </c>
      <c r="F46" s="33" t="s">
        <v>78</v>
      </c>
      <c r="G46" s="34"/>
    </row>
    <row r="47" spans="1:7" s="16" customFormat="1" x14ac:dyDescent="0.15">
      <c r="A47" s="46">
        <v>14</v>
      </c>
      <c r="B47" s="31" t="s">
        <v>118</v>
      </c>
      <c r="C47" s="19" t="s">
        <v>119</v>
      </c>
      <c r="D47" s="19" t="s">
        <v>120</v>
      </c>
      <c r="E47" s="8">
        <v>200</v>
      </c>
      <c r="F47" s="33" t="s">
        <v>140</v>
      </c>
      <c r="G47" s="34"/>
    </row>
    <row r="48" spans="1:7" s="16" customFormat="1" ht="27" x14ac:dyDescent="0.15">
      <c r="A48" s="46">
        <v>15</v>
      </c>
      <c r="B48" s="31" t="s">
        <v>121</v>
      </c>
      <c r="C48" s="19" t="s">
        <v>122</v>
      </c>
      <c r="D48" s="19" t="s">
        <v>123</v>
      </c>
      <c r="E48" s="8">
        <v>160</v>
      </c>
      <c r="F48" s="33" t="s">
        <v>124</v>
      </c>
      <c r="G48" s="34"/>
    </row>
    <row r="49" spans="1:7" s="16" customFormat="1" x14ac:dyDescent="0.15">
      <c r="A49" s="46">
        <v>16</v>
      </c>
      <c r="B49" s="8" t="s">
        <v>125</v>
      </c>
      <c r="C49" s="19" t="s">
        <v>126</v>
      </c>
      <c r="D49" s="19" t="s">
        <v>127</v>
      </c>
      <c r="E49" s="8">
        <v>0.8</v>
      </c>
      <c r="F49" s="33" t="s">
        <v>42</v>
      </c>
      <c r="G49" s="34"/>
    </row>
    <row r="50" spans="1:7" s="16" customFormat="1" x14ac:dyDescent="0.15">
      <c r="A50" s="46">
        <v>17</v>
      </c>
      <c r="B50" s="31" t="s">
        <v>128</v>
      </c>
      <c r="C50" s="19" t="s">
        <v>130</v>
      </c>
      <c r="D50" s="19" t="s">
        <v>132</v>
      </c>
      <c r="E50" s="8">
        <v>3.1</v>
      </c>
      <c r="F50" s="33" t="s">
        <v>134</v>
      </c>
      <c r="G50" s="34"/>
    </row>
    <row r="51" spans="1:7" s="16" customFormat="1" x14ac:dyDescent="0.15">
      <c r="A51" s="46">
        <v>18</v>
      </c>
      <c r="B51" s="31" t="s">
        <v>129</v>
      </c>
      <c r="C51" s="19" t="s">
        <v>131</v>
      </c>
      <c r="D51" s="19" t="s">
        <v>133</v>
      </c>
      <c r="E51" s="8">
        <v>5.8</v>
      </c>
      <c r="F51" s="33" t="s">
        <v>134</v>
      </c>
      <c r="G51" s="34"/>
    </row>
    <row r="52" spans="1:7" s="16" customFormat="1" ht="34.5" customHeight="1" x14ac:dyDescent="0.15">
      <c r="A52" s="46">
        <v>19</v>
      </c>
      <c r="B52" s="8" t="s">
        <v>135</v>
      </c>
      <c r="C52" s="19" t="s">
        <v>136</v>
      </c>
      <c r="D52" s="19"/>
      <c r="E52" s="35">
        <f>(E50+E51)/E49</f>
        <v>11.125</v>
      </c>
      <c r="F52" s="33" t="s">
        <v>137</v>
      </c>
      <c r="G52" s="34"/>
    </row>
    <row r="53" spans="1:7" s="16" customFormat="1" ht="60.75" customHeight="1" x14ac:dyDescent="0.15">
      <c r="A53" s="46">
        <v>20</v>
      </c>
      <c r="B53" s="8" t="s">
        <v>138</v>
      </c>
      <c r="C53" s="19" t="s">
        <v>139</v>
      </c>
      <c r="D53" s="19"/>
      <c r="E53" s="35">
        <f>E12*E12*E29*E47*1.5/1000+0.5*E48*E25*E25*E26/1000000000+E25*E12*(E52+E52+E41)*E26/2/1000000</f>
        <v>0.20933916644200462</v>
      </c>
      <c r="F53" s="33" t="s">
        <v>60</v>
      </c>
      <c r="G53" s="34"/>
    </row>
    <row r="54" spans="1:7" s="16" customFormat="1" ht="27" x14ac:dyDescent="0.15">
      <c r="A54" s="46">
        <v>21</v>
      </c>
      <c r="B54" s="8" t="s">
        <v>141</v>
      </c>
      <c r="C54" s="19" t="s">
        <v>142</v>
      </c>
      <c r="D54" s="19" t="s">
        <v>143</v>
      </c>
      <c r="E54" s="35">
        <f>E37+E43+E53</f>
        <v>1.0526385033526573</v>
      </c>
      <c r="F54" s="33" t="s">
        <v>60</v>
      </c>
      <c r="G54" s="34"/>
    </row>
    <row r="55" spans="1:7" s="16" customFormat="1" ht="20.25" customHeight="1" x14ac:dyDescent="0.15">
      <c r="A55" s="46">
        <v>22</v>
      </c>
      <c r="B55" s="8" t="s">
        <v>144</v>
      </c>
      <c r="C55" s="19" t="s">
        <v>145</v>
      </c>
      <c r="D55" s="19" t="s">
        <v>146</v>
      </c>
      <c r="E55" s="8">
        <f>0.4*E12</f>
        <v>0.32000000000000006</v>
      </c>
      <c r="F55" s="33" t="s">
        <v>42</v>
      </c>
      <c r="G55" s="34"/>
    </row>
    <row r="56" spans="1:7" s="16" customFormat="1" ht="33" customHeight="1" x14ac:dyDescent="0.15">
      <c r="A56" s="46">
        <v>23</v>
      </c>
      <c r="B56" s="8" t="s">
        <v>147</v>
      </c>
      <c r="C56" s="19" t="s">
        <v>148</v>
      </c>
      <c r="D56" s="19"/>
      <c r="E56" s="32">
        <f>E25/E55/4/E26*1000</f>
        <v>468.70312499999983</v>
      </c>
      <c r="F56" s="33" t="s">
        <v>149</v>
      </c>
      <c r="G56" s="34"/>
    </row>
    <row r="57" spans="1:7" s="16" customFormat="1" ht="33" customHeight="1" x14ac:dyDescent="0.15">
      <c r="A57" s="46">
        <v>24</v>
      </c>
      <c r="B57" s="8" t="s">
        <v>314</v>
      </c>
      <c r="C57" s="19" t="s">
        <v>148</v>
      </c>
      <c r="D57" s="19" t="s">
        <v>157</v>
      </c>
      <c r="E57" s="32">
        <v>400</v>
      </c>
      <c r="F57" s="33" t="s">
        <v>149</v>
      </c>
      <c r="G57" s="34"/>
    </row>
    <row r="58" spans="1:7" s="16" customFormat="1" ht="33.75" customHeight="1" x14ac:dyDescent="0.15">
      <c r="A58" s="46">
        <v>25</v>
      </c>
      <c r="B58" s="8" t="s">
        <v>151</v>
      </c>
      <c r="C58" s="19" t="s">
        <v>152</v>
      </c>
      <c r="D58" s="19"/>
      <c r="E58" s="32">
        <f>E12+E25*1000/8/E57/E26</f>
        <v>0.98748124999999998</v>
      </c>
      <c r="F58" s="33" t="s">
        <v>150</v>
      </c>
      <c r="G58" s="34"/>
    </row>
    <row r="59" spans="1:7" s="16" customFormat="1" ht="40.5" x14ac:dyDescent="0.15">
      <c r="A59" s="46">
        <v>26</v>
      </c>
      <c r="B59" s="8" t="s">
        <v>153</v>
      </c>
      <c r="C59" s="19" t="s">
        <v>154</v>
      </c>
      <c r="D59" s="19" t="s">
        <v>155</v>
      </c>
      <c r="E59" s="8" t="s">
        <v>156</v>
      </c>
      <c r="F59" s="33" t="s">
        <v>157</v>
      </c>
      <c r="G59" s="34"/>
    </row>
    <row r="60" spans="1:7" s="16" customFormat="1" ht="27" x14ac:dyDescent="0.15">
      <c r="A60" s="46">
        <v>27</v>
      </c>
      <c r="B60" s="8" t="s">
        <v>158</v>
      </c>
      <c r="C60" s="19" t="s">
        <v>159</v>
      </c>
      <c r="D60" s="19" t="s">
        <v>161</v>
      </c>
      <c r="E60" s="8">
        <f>1.5*E25</f>
        <v>45</v>
      </c>
      <c r="F60" s="33" t="s">
        <v>160</v>
      </c>
      <c r="G60" s="34"/>
    </row>
    <row r="61" spans="1:7" s="16" customFormat="1" ht="27" x14ac:dyDescent="0.15">
      <c r="A61" s="46">
        <v>28</v>
      </c>
      <c r="B61" s="8" t="s">
        <v>162</v>
      </c>
      <c r="C61" s="19" t="s">
        <v>163</v>
      </c>
      <c r="D61" s="19" t="s">
        <v>164</v>
      </c>
      <c r="E61" s="8">
        <f>0.5*E12</f>
        <v>0.4</v>
      </c>
      <c r="F61" s="33" t="s">
        <v>150</v>
      </c>
      <c r="G61" s="34"/>
    </row>
    <row r="62" spans="1:7" s="16" customFormat="1" ht="40.5" x14ac:dyDescent="0.15">
      <c r="A62" s="46">
        <v>29</v>
      </c>
      <c r="B62" s="8" t="s">
        <v>165</v>
      </c>
      <c r="C62" s="19" t="s">
        <v>166</v>
      </c>
      <c r="D62" s="19" t="s">
        <v>167</v>
      </c>
      <c r="E62" s="8">
        <v>680</v>
      </c>
      <c r="F62" s="33" t="s">
        <v>168</v>
      </c>
      <c r="G62" s="34"/>
    </row>
    <row r="63" spans="1:7" s="16" customFormat="1" ht="40.5" x14ac:dyDescent="0.15">
      <c r="A63" s="46">
        <v>30</v>
      </c>
      <c r="B63" s="8" t="s">
        <v>169</v>
      </c>
      <c r="C63" s="19" t="s">
        <v>170</v>
      </c>
      <c r="D63" s="19" t="s">
        <v>171</v>
      </c>
      <c r="E63" s="8">
        <v>1</v>
      </c>
      <c r="F63" s="33" t="s">
        <v>168</v>
      </c>
      <c r="G63" s="34"/>
    </row>
    <row r="64" spans="1:7" s="16" customFormat="1" ht="27" x14ac:dyDescent="0.15">
      <c r="A64" s="46">
        <v>31</v>
      </c>
      <c r="B64" s="8" t="s">
        <v>172</v>
      </c>
      <c r="C64" s="19" t="s">
        <v>173</v>
      </c>
      <c r="D64" s="19" t="s">
        <v>174</v>
      </c>
      <c r="E64" s="32">
        <f>1.5*E19</f>
        <v>23.098500000000001</v>
      </c>
      <c r="F64" s="33" t="s">
        <v>160</v>
      </c>
      <c r="G64" s="34"/>
    </row>
    <row r="65" spans="1:7" s="16" customFormat="1" ht="33.75" customHeight="1" x14ac:dyDescent="0.15">
      <c r="A65" s="46">
        <v>32</v>
      </c>
      <c r="B65" s="8" t="s">
        <v>175</v>
      </c>
      <c r="C65" s="19" t="s">
        <v>176</v>
      </c>
      <c r="D65" s="19"/>
      <c r="E65" s="32">
        <f>E25*1000*1000/SQRT(192)/E26/E57</f>
        <v>108.24235015550752</v>
      </c>
      <c r="F65" s="33" t="s">
        <v>177</v>
      </c>
      <c r="G65" s="34"/>
    </row>
    <row r="66" spans="1:7" s="16" customFormat="1" ht="40.5" x14ac:dyDescent="0.15">
      <c r="A66" s="46">
        <v>33</v>
      </c>
      <c r="B66" s="8" t="s">
        <v>178</v>
      </c>
      <c r="C66" s="19" t="s">
        <v>179</v>
      </c>
      <c r="D66" s="19" t="s">
        <v>167</v>
      </c>
      <c r="E66" s="8">
        <v>470</v>
      </c>
      <c r="F66" s="33" t="s">
        <v>168</v>
      </c>
      <c r="G66" s="34"/>
    </row>
    <row r="67" spans="1:7" s="16" customFormat="1" x14ac:dyDescent="0.15">
      <c r="A67" s="46">
        <v>34</v>
      </c>
      <c r="B67" s="31" t="s">
        <v>180</v>
      </c>
      <c r="C67" s="19" t="s">
        <v>181</v>
      </c>
      <c r="D67" s="19" t="s">
        <v>182</v>
      </c>
      <c r="E67" s="8">
        <v>65</v>
      </c>
      <c r="F67" s="33" t="s">
        <v>183</v>
      </c>
      <c r="G67" s="34"/>
    </row>
    <row r="68" spans="1:7" s="16" customFormat="1" ht="27" x14ac:dyDescent="0.15">
      <c r="A68" s="46">
        <v>35</v>
      </c>
      <c r="B68" s="8" t="s">
        <v>184</v>
      </c>
      <c r="C68" s="19" t="s">
        <v>185</v>
      </c>
      <c r="D68" s="19"/>
      <c r="E68" s="48">
        <f>0.015*E20</f>
        <v>0.18478800000000004</v>
      </c>
      <c r="F68" s="33" t="s">
        <v>186</v>
      </c>
      <c r="G68" s="34"/>
    </row>
    <row r="69" spans="1:7" s="16" customFormat="1" ht="27" x14ac:dyDescent="0.15">
      <c r="A69" s="46">
        <v>36</v>
      </c>
      <c r="B69" s="8" t="s">
        <v>187</v>
      </c>
      <c r="C69" s="19" t="s">
        <v>188</v>
      </c>
      <c r="D69" s="19" t="s">
        <v>189</v>
      </c>
      <c r="E69" s="8">
        <f>1.5*E25</f>
        <v>45</v>
      </c>
      <c r="F69" s="33" t="s">
        <v>160</v>
      </c>
      <c r="G69" s="34"/>
    </row>
    <row r="70" spans="1:7" s="16" customFormat="1" ht="40.5" x14ac:dyDescent="0.15">
      <c r="A70" s="46">
        <v>37</v>
      </c>
      <c r="B70" s="8" t="s">
        <v>190</v>
      </c>
      <c r="C70" s="19" t="s">
        <v>335</v>
      </c>
      <c r="D70" s="19"/>
      <c r="E70" s="32">
        <f>2*E68*1000000/E25/E25/E26</f>
        <v>8.2119787199999994</v>
      </c>
      <c r="F70" s="33" t="s">
        <v>191</v>
      </c>
      <c r="G70" s="34"/>
    </row>
    <row r="71" spans="1:7" s="16" customFormat="1" ht="20.25" customHeight="1" x14ac:dyDescent="0.15">
      <c r="A71" s="46">
        <v>38</v>
      </c>
      <c r="B71" s="44" t="s">
        <v>334</v>
      </c>
      <c r="C71" s="19" t="s">
        <v>336</v>
      </c>
      <c r="D71" s="19" t="s">
        <v>337</v>
      </c>
      <c r="E71" s="32">
        <v>10</v>
      </c>
      <c r="F71" s="33" t="s">
        <v>338</v>
      </c>
      <c r="G71" s="34"/>
    </row>
    <row r="72" spans="1:7" s="16" customFormat="1" ht="36" customHeight="1" x14ac:dyDescent="0.15">
      <c r="A72" s="46">
        <v>39</v>
      </c>
      <c r="B72" s="8" t="s">
        <v>192</v>
      </c>
      <c r="C72" s="19" t="s">
        <v>340</v>
      </c>
      <c r="D72" s="19"/>
      <c r="E72" s="32">
        <f>1*1000000/16/3.1415/E26/E71</f>
        <v>39.78593028807893</v>
      </c>
      <c r="F72" s="33" t="s">
        <v>193</v>
      </c>
      <c r="G72" s="34"/>
    </row>
    <row r="73" spans="1:7" s="16" customFormat="1" ht="36" customHeight="1" x14ac:dyDescent="0.15">
      <c r="A73" s="46">
        <v>40</v>
      </c>
      <c r="B73" s="44" t="s">
        <v>339</v>
      </c>
      <c r="C73" s="19" t="s">
        <v>341</v>
      </c>
      <c r="D73" s="19" t="s">
        <v>337</v>
      </c>
      <c r="E73" s="32">
        <v>39</v>
      </c>
      <c r="F73" s="33" t="s">
        <v>1</v>
      </c>
      <c r="G73" s="34"/>
    </row>
    <row r="74" spans="1:7" s="16" customFormat="1" ht="36" customHeight="1" x14ac:dyDescent="0.15">
      <c r="A74" s="46">
        <v>41</v>
      </c>
      <c r="B74" s="8" t="s">
        <v>195</v>
      </c>
      <c r="C74" s="19" t="s">
        <v>196</v>
      </c>
      <c r="D74" s="19"/>
      <c r="E74" s="48">
        <f>E20*0.015</f>
        <v>0.18478800000000004</v>
      </c>
      <c r="F74" s="33" t="s">
        <v>186</v>
      </c>
      <c r="G74" s="34"/>
    </row>
    <row r="75" spans="1:7" s="16" customFormat="1" ht="43.5" customHeight="1" x14ac:dyDescent="0.15">
      <c r="A75" s="46">
        <v>42</v>
      </c>
      <c r="B75" s="8" t="s">
        <v>194</v>
      </c>
      <c r="C75" s="19" t="s">
        <v>343</v>
      </c>
      <c r="D75" s="19"/>
      <c r="E75" s="49">
        <f>IF(0.35/E58&gt;=E74/E12/E12,E74*1000/E12/E12,0.35*1000/E58)</f>
        <v>288.73125000000005</v>
      </c>
      <c r="F75" s="33" t="s">
        <v>183</v>
      </c>
      <c r="G75" s="34"/>
    </row>
    <row r="76" spans="1:7" s="16" customFormat="1" ht="43.5" customHeight="1" x14ac:dyDescent="0.15">
      <c r="A76" s="46">
        <v>43</v>
      </c>
      <c r="B76" s="44" t="s">
        <v>342</v>
      </c>
      <c r="C76" s="19" t="s">
        <v>344</v>
      </c>
      <c r="D76" s="19" t="s">
        <v>337</v>
      </c>
      <c r="E76" s="49">
        <v>270</v>
      </c>
      <c r="F76" s="33" t="s">
        <v>183</v>
      </c>
      <c r="G76" s="34"/>
    </row>
    <row r="77" spans="1:7" s="16" customFormat="1" ht="27" x14ac:dyDescent="0.15">
      <c r="A77" s="46">
        <v>44</v>
      </c>
      <c r="B77" s="8" t="s">
        <v>197</v>
      </c>
      <c r="C77" s="19" t="s">
        <v>198</v>
      </c>
      <c r="D77" s="19" t="s">
        <v>199</v>
      </c>
      <c r="E77" s="8">
        <f>1.25*E12</f>
        <v>1</v>
      </c>
      <c r="F77" s="33" t="s">
        <v>150</v>
      </c>
      <c r="G77" s="34"/>
    </row>
    <row r="78" spans="1:7" s="16" customFormat="1" ht="41.25" thickBot="1" x14ac:dyDescent="0.2">
      <c r="A78" s="36">
        <v>45</v>
      </c>
      <c r="B78" s="37" t="s">
        <v>200</v>
      </c>
      <c r="C78" s="38" t="s">
        <v>201</v>
      </c>
      <c r="D78" s="38" t="s">
        <v>202</v>
      </c>
      <c r="E78" s="37">
        <v>100</v>
      </c>
      <c r="F78" s="39" t="s">
        <v>191</v>
      </c>
      <c r="G78" s="34"/>
    </row>
    <row r="79" spans="1:7" ht="31.5" customHeight="1" thickBot="1" x14ac:dyDescent="0.2"/>
    <row r="80" spans="1:7" ht="24.75" customHeight="1" x14ac:dyDescent="0.15">
      <c r="A80" s="28" t="s">
        <v>9</v>
      </c>
      <c r="B80" s="29" t="s">
        <v>5</v>
      </c>
      <c r="C80" s="29" t="s">
        <v>6</v>
      </c>
      <c r="D80" s="29" t="s">
        <v>7</v>
      </c>
      <c r="E80" s="29" t="s">
        <v>8</v>
      </c>
      <c r="F80" s="30" t="s">
        <v>37</v>
      </c>
    </row>
    <row r="81" spans="1:6" ht="37.5" customHeight="1" x14ac:dyDescent="0.15">
      <c r="A81" s="63" t="s">
        <v>203</v>
      </c>
      <c r="B81" s="64"/>
      <c r="C81" s="64"/>
      <c r="D81" s="64"/>
      <c r="E81" s="2"/>
      <c r="F81" s="12"/>
    </row>
    <row r="82" spans="1:6" ht="27" x14ac:dyDescent="0.15">
      <c r="A82" s="10">
        <v>1</v>
      </c>
      <c r="B82" s="9" t="s">
        <v>204</v>
      </c>
      <c r="C82" s="19" t="s">
        <v>208</v>
      </c>
      <c r="D82" s="19" t="s">
        <v>214</v>
      </c>
      <c r="E82" s="9" t="s">
        <v>209</v>
      </c>
      <c r="F82" s="12" t="s">
        <v>157</v>
      </c>
    </row>
    <row r="83" spans="1:6" ht="40.5" x14ac:dyDescent="0.15">
      <c r="A83" s="10">
        <v>2</v>
      </c>
      <c r="B83" s="9" t="s">
        <v>211</v>
      </c>
      <c r="C83" s="19" t="s">
        <v>210</v>
      </c>
      <c r="D83" s="19" t="s">
        <v>213</v>
      </c>
      <c r="E83" s="9">
        <f>1.5*(E25-15)</f>
        <v>22.5</v>
      </c>
      <c r="F83" s="12" t="s">
        <v>160</v>
      </c>
    </row>
    <row r="84" spans="1:6" x14ac:dyDescent="0.15">
      <c r="A84" s="10">
        <v>3</v>
      </c>
      <c r="B84" s="9" t="s">
        <v>205</v>
      </c>
      <c r="C84" s="19" t="s">
        <v>215</v>
      </c>
      <c r="D84" s="19" t="s">
        <v>216</v>
      </c>
      <c r="E84" s="9" t="s">
        <v>217</v>
      </c>
      <c r="F84" s="12" t="s">
        <v>157</v>
      </c>
    </row>
    <row r="85" spans="1:6" ht="27.75" customHeight="1" x14ac:dyDescent="0.15">
      <c r="A85" s="10">
        <v>4</v>
      </c>
      <c r="B85" s="9" t="s">
        <v>206</v>
      </c>
      <c r="C85" s="19" t="s">
        <v>218</v>
      </c>
      <c r="D85" s="19"/>
      <c r="E85" s="9">
        <f>(E24-15)/2</f>
        <v>1.5</v>
      </c>
      <c r="F85" s="12" t="s">
        <v>219</v>
      </c>
    </row>
    <row r="86" spans="1:6" ht="32.25" customHeight="1" x14ac:dyDescent="0.15">
      <c r="A86" s="10">
        <v>5</v>
      </c>
      <c r="B86" s="9" t="s">
        <v>212</v>
      </c>
      <c r="C86" s="19" t="s">
        <v>220</v>
      </c>
      <c r="D86" s="19"/>
      <c r="E86" s="9">
        <f>(E25-15)*(E25-15)/E85/1000</f>
        <v>0.15</v>
      </c>
      <c r="F86" s="12" t="s">
        <v>186</v>
      </c>
    </row>
    <row r="87" spans="1:6" ht="37.5" customHeight="1" thickBot="1" x14ac:dyDescent="0.2">
      <c r="A87" s="22">
        <v>6</v>
      </c>
      <c r="B87" s="13" t="s">
        <v>207</v>
      </c>
      <c r="C87" s="38" t="s">
        <v>221</v>
      </c>
      <c r="D87" s="38" t="s">
        <v>222</v>
      </c>
      <c r="E87" s="26">
        <v>82</v>
      </c>
      <c r="F87" s="14" t="s">
        <v>168</v>
      </c>
    </row>
    <row r="88" spans="1:6" ht="27" customHeight="1" thickBot="1" x14ac:dyDescent="0.2"/>
    <row r="89" spans="1:6" ht="24.75" customHeight="1" x14ac:dyDescent="0.15">
      <c r="A89" s="28" t="s">
        <v>9</v>
      </c>
      <c r="B89" s="29" t="s">
        <v>5</v>
      </c>
      <c r="C89" s="29" t="s">
        <v>6</v>
      </c>
      <c r="D89" s="29" t="s">
        <v>7</v>
      </c>
      <c r="E89" s="29" t="s">
        <v>8</v>
      </c>
      <c r="F89" s="30" t="s">
        <v>37</v>
      </c>
    </row>
    <row r="90" spans="1:6" ht="37.5" customHeight="1" x14ac:dyDescent="0.15">
      <c r="A90" s="63" t="s">
        <v>223</v>
      </c>
      <c r="B90" s="64"/>
      <c r="C90" s="64"/>
      <c r="D90" s="64"/>
      <c r="E90" s="2"/>
      <c r="F90" s="12"/>
    </row>
    <row r="91" spans="1:6" x14ac:dyDescent="0.15">
      <c r="A91" s="10">
        <v>1</v>
      </c>
      <c r="B91" s="9" t="s">
        <v>224</v>
      </c>
      <c r="C91" s="19" t="s">
        <v>232</v>
      </c>
      <c r="D91" s="19" t="s">
        <v>233</v>
      </c>
      <c r="E91" s="9" t="s">
        <v>234</v>
      </c>
      <c r="F91" s="12" t="s">
        <v>157</v>
      </c>
    </row>
    <row r="92" spans="1:6" ht="27" x14ac:dyDescent="0.15">
      <c r="A92" s="10">
        <v>2</v>
      </c>
      <c r="B92" s="9" t="s">
        <v>225</v>
      </c>
      <c r="C92" s="19" t="s">
        <v>235</v>
      </c>
      <c r="D92" s="19" t="s">
        <v>236</v>
      </c>
      <c r="E92" s="9">
        <v>0.15</v>
      </c>
      <c r="F92" s="12" t="s">
        <v>168</v>
      </c>
    </row>
    <row r="93" spans="1:6" ht="27" x14ac:dyDescent="0.15">
      <c r="A93" s="10">
        <v>3</v>
      </c>
      <c r="B93" s="9" t="s">
        <v>226</v>
      </c>
      <c r="C93" s="19" t="s">
        <v>237</v>
      </c>
      <c r="D93" s="19" t="s">
        <v>238</v>
      </c>
      <c r="E93" s="9" t="s">
        <v>239</v>
      </c>
      <c r="F93" s="12" t="s">
        <v>157</v>
      </c>
    </row>
    <row r="94" spans="1:6" ht="27.75" customHeight="1" x14ac:dyDescent="0.15">
      <c r="A94" s="10">
        <v>4</v>
      </c>
      <c r="B94" s="9" t="s">
        <v>227</v>
      </c>
      <c r="C94" s="19" t="s">
        <v>240</v>
      </c>
      <c r="D94" s="19" t="s">
        <v>241</v>
      </c>
      <c r="E94" s="9" t="s">
        <v>242</v>
      </c>
      <c r="F94" s="12" t="s">
        <v>157</v>
      </c>
    </row>
    <row r="95" spans="1:6" ht="32.25" customHeight="1" x14ac:dyDescent="0.15">
      <c r="A95" s="10">
        <v>5</v>
      </c>
      <c r="B95" s="9" t="s">
        <v>228</v>
      </c>
      <c r="C95" s="19" t="s">
        <v>243</v>
      </c>
      <c r="D95" s="19" t="s">
        <v>157</v>
      </c>
      <c r="E95" s="9">
        <v>4.7</v>
      </c>
      <c r="F95" s="12" t="s">
        <v>193</v>
      </c>
    </row>
    <row r="96" spans="1:6" ht="37.5" customHeight="1" x14ac:dyDescent="0.15">
      <c r="A96" s="10">
        <v>6</v>
      </c>
      <c r="B96" s="9" t="s">
        <v>229</v>
      </c>
      <c r="C96" s="19" t="s">
        <v>244</v>
      </c>
      <c r="D96" s="19" t="s">
        <v>157</v>
      </c>
      <c r="E96" s="25">
        <v>1</v>
      </c>
      <c r="F96" s="12" t="s">
        <v>219</v>
      </c>
    </row>
    <row r="97" spans="1:6" x14ac:dyDescent="0.15">
      <c r="A97" s="10">
        <v>7</v>
      </c>
      <c r="B97" s="9" t="s">
        <v>230</v>
      </c>
      <c r="C97" s="17" t="s">
        <v>245</v>
      </c>
      <c r="D97" s="17" t="s">
        <v>157</v>
      </c>
      <c r="E97" s="9">
        <v>1</v>
      </c>
      <c r="F97" s="12" t="s">
        <v>219</v>
      </c>
    </row>
    <row r="98" spans="1:6" ht="14.25" thickBot="1" x14ac:dyDescent="0.2">
      <c r="A98" s="22">
        <v>8</v>
      </c>
      <c r="B98" s="13" t="s">
        <v>231</v>
      </c>
      <c r="C98" s="18" t="s">
        <v>246</v>
      </c>
      <c r="D98" s="18" t="s">
        <v>157</v>
      </c>
      <c r="E98" s="13">
        <v>10</v>
      </c>
      <c r="F98" s="14" t="s">
        <v>219</v>
      </c>
    </row>
    <row r="99" spans="1:6" ht="31.5" customHeight="1" thickBot="1" x14ac:dyDescent="0.2"/>
    <row r="100" spans="1:6" ht="24.75" customHeight="1" x14ac:dyDescent="0.15">
      <c r="A100" s="28" t="s">
        <v>9</v>
      </c>
      <c r="B100" s="29" t="s">
        <v>5</v>
      </c>
      <c r="C100" s="29" t="s">
        <v>6</v>
      </c>
      <c r="D100" s="29" t="s">
        <v>7</v>
      </c>
      <c r="E100" s="29" t="s">
        <v>8</v>
      </c>
      <c r="F100" s="30" t="s">
        <v>37</v>
      </c>
    </row>
    <row r="101" spans="1:6" ht="37.5" customHeight="1" x14ac:dyDescent="0.15">
      <c r="A101" s="63" t="s">
        <v>247</v>
      </c>
      <c r="B101" s="64"/>
      <c r="C101" s="64"/>
      <c r="D101" s="64"/>
      <c r="E101" s="2"/>
      <c r="F101" s="41"/>
    </row>
    <row r="102" spans="1:6" ht="27" x14ac:dyDescent="0.15">
      <c r="A102" s="45">
        <v>1</v>
      </c>
      <c r="B102" s="40" t="s">
        <v>248</v>
      </c>
      <c r="C102" s="19" t="s">
        <v>249</v>
      </c>
      <c r="D102" s="19" t="s">
        <v>250</v>
      </c>
      <c r="E102" s="40" t="s">
        <v>251</v>
      </c>
      <c r="F102" s="41" t="s">
        <v>157</v>
      </c>
    </row>
    <row r="103" spans="1:6" ht="27" x14ac:dyDescent="0.15">
      <c r="A103" s="45">
        <v>2</v>
      </c>
      <c r="B103" s="40" t="s">
        <v>252</v>
      </c>
      <c r="C103" s="19" t="s">
        <v>253</v>
      </c>
      <c r="D103" s="19"/>
      <c r="E103" s="40">
        <v>150</v>
      </c>
      <c r="F103" s="41" t="s">
        <v>254</v>
      </c>
    </row>
    <row r="104" spans="1:6" ht="29.25" customHeight="1" x14ac:dyDescent="0.15">
      <c r="A104" s="45">
        <v>3</v>
      </c>
      <c r="B104" s="40" t="s">
        <v>255</v>
      </c>
      <c r="C104" s="19" t="s">
        <v>256</v>
      </c>
      <c r="D104" s="19"/>
      <c r="E104" s="40">
        <f>E17*1000/E103</f>
        <v>90.999999999999986</v>
      </c>
      <c r="F104" s="41" t="s">
        <v>219</v>
      </c>
    </row>
    <row r="105" spans="1:6" ht="27.75" customHeight="1" x14ac:dyDescent="0.15">
      <c r="A105" s="45">
        <v>4</v>
      </c>
      <c r="B105" s="40" t="s">
        <v>257</v>
      </c>
      <c r="C105" s="19" t="s">
        <v>256</v>
      </c>
      <c r="D105" s="19" t="s">
        <v>258</v>
      </c>
      <c r="E105" s="40">
        <f>0.001*E104*1000</f>
        <v>90.999999999999986</v>
      </c>
      <c r="F105" s="41" t="s">
        <v>193</v>
      </c>
    </row>
    <row r="106" spans="1:6" ht="41.25" customHeight="1" x14ac:dyDescent="0.15">
      <c r="A106" s="45">
        <v>5</v>
      </c>
      <c r="B106" s="40" t="s">
        <v>259</v>
      </c>
      <c r="C106" s="19" t="s">
        <v>260</v>
      </c>
      <c r="D106" s="19"/>
      <c r="E106" s="40">
        <v>30</v>
      </c>
      <c r="F106" s="41" t="s">
        <v>219</v>
      </c>
    </row>
    <row r="107" spans="1:6" ht="37.5" customHeight="1" x14ac:dyDescent="0.15">
      <c r="A107" s="45">
        <v>6</v>
      </c>
      <c r="B107" s="40" t="s">
        <v>345</v>
      </c>
      <c r="C107" s="19" t="s">
        <v>261</v>
      </c>
      <c r="D107" s="19" t="s">
        <v>337</v>
      </c>
      <c r="E107" s="25">
        <f>1/E6</f>
        <v>0.16666666666666666</v>
      </c>
      <c r="F107" s="41" t="s">
        <v>157</v>
      </c>
    </row>
    <row r="108" spans="1:6" ht="37.5" customHeight="1" x14ac:dyDescent="0.15">
      <c r="A108" s="45">
        <v>7</v>
      </c>
      <c r="B108" s="40" t="s">
        <v>346</v>
      </c>
      <c r="C108" s="19" t="s">
        <v>348</v>
      </c>
      <c r="D108" s="19" t="s">
        <v>337</v>
      </c>
      <c r="E108" s="25">
        <f>(15-3)/E19</f>
        <v>0.77927138125852324</v>
      </c>
      <c r="F108" s="41" t="s">
        <v>337</v>
      </c>
    </row>
    <row r="109" spans="1:6" ht="37.5" customHeight="1" thickBot="1" x14ac:dyDescent="0.2">
      <c r="A109" s="22">
        <v>8</v>
      </c>
      <c r="B109" s="42" t="s">
        <v>347</v>
      </c>
      <c r="C109" s="38" t="s">
        <v>349</v>
      </c>
      <c r="D109" s="38"/>
      <c r="E109" s="26">
        <v>0.33</v>
      </c>
      <c r="F109" s="43" t="s">
        <v>337</v>
      </c>
    </row>
    <row r="110" spans="1:6" ht="22.5" customHeight="1" thickBot="1" x14ac:dyDescent="0.2"/>
    <row r="111" spans="1:6" ht="24.75" customHeight="1" x14ac:dyDescent="0.15">
      <c r="A111" s="28" t="s">
        <v>9</v>
      </c>
      <c r="B111" s="29" t="s">
        <v>5</v>
      </c>
      <c r="C111" s="29" t="s">
        <v>6</v>
      </c>
      <c r="D111" s="29" t="s">
        <v>7</v>
      </c>
      <c r="E111" s="29" t="s">
        <v>8</v>
      </c>
      <c r="F111" s="30" t="s">
        <v>37</v>
      </c>
    </row>
    <row r="112" spans="1:6" ht="53.25" customHeight="1" x14ac:dyDescent="0.15">
      <c r="A112" s="67" t="s">
        <v>262</v>
      </c>
      <c r="B112" s="68"/>
      <c r="C112" s="68"/>
      <c r="D112" s="69"/>
      <c r="E112" s="2"/>
      <c r="F112" s="12"/>
    </row>
    <row r="113" spans="1:6" ht="27" x14ac:dyDescent="0.15">
      <c r="A113" s="10">
        <v>1</v>
      </c>
      <c r="B113" s="9" t="s">
        <v>263</v>
      </c>
      <c r="C113" s="19" t="s">
        <v>266</v>
      </c>
      <c r="D113" s="19" t="s">
        <v>267</v>
      </c>
      <c r="E113" s="9" t="s">
        <v>268</v>
      </c>
      <c r="F113" s="12" t="s">
        <v>157</v>
      </c>
    </row>
    <row r="114" spans="1:6" ht="29.25" customHeight="1" x14ac:dyDescent="0.15">
      <c r="A114" s="10">
        <v>2</v>
      </c>
      <c r="B114" s="9" t="s">
        <v>265</v>
      </c>
      <c r="C114" s="19" t="s">
        <v>270</v>
      </c>
      <c r="D114" s="19" t="s">
        <v>157</v>
      </c>
      <c r="E114" s="9">
        <v>11</v>
      </c>
      <c r="F114" s="12" t="s">
        <v>219</v>
      </c>
    </row>
    <row r="115" spans="1:6" ht="57" customHeight="1" x14ac:dyDescent="0.15">
      <c r="A115" s="10">
        <v>3</v>
      </c>
      <c r="B115" s="9" t="s">
        <v>264</v>
      </c>
      <c r="C115" s="19" t="s">
        <v>269</v>
      </c>
      <c r="D115" s="19"/>
      <c r="E115" s="9">
        <v>1.5149999999999999</v>
      </c>
      <c r="F115" s="12" t="s">
        <v>191</v>
      </c>
    </row>
    <row r="116" spans="1:6" ht="41.25" customHeight="1" x14ac:dyDescent="0.15">
      <c r="A116" s="10">
        <v>4</v>
      </c>
      <c r="B116" s="9" t="s">
        <v>271</v>
      </c>
      <c r="C116" s="19" t="s">
        <v>273</v>
      </c>
      <c r="D116" s="19" t="s">
        <v>274</v>
      </c>
      <c r="E116" s="9">
        <v>10</v>
      </c>
      <c r="F116" s="12" t="s">
        <v>219</v>
      </c>
    </row>
    <row r="117" spans="1:6" ht="53.25" customHeight="1" thickBot="1" x14ac:dyDescent="0.2">
      <c r="A117" s="22">
        <v>5</v>
      </c>
      <c r="B117" s="13" t="s">
        <v>272</v>
      </c>
      <c r="C117" s="38" t="s">
        <v>275</v>
      </c>
      <c r="D117" s="38" t="s">
        <v>276</v>
      </c>
      <c r="E117" s="13">
        <v>50</v>
      </c>
      <c r="F117" s="14" t="s">
        <v>219</v>
      </c>
    </row>
    <row r="118" spans="1:6" ht="32.25" customHeight="1" thickBot="1" x14ac:dyDescent="0.2"/>
    <row r="119" spans="1:6" ht="24.75" customHeight="1" x14ac:dyDescent="0.15">
      <c r="A119" s="28" t="s">
        <v>9</v>
      </c>
      <c r="B119" s="29" t="s">
        <v>5</v>
      </c>
      <c r="C119" s="29" t="s">
        <v>6</v>
      </c>
      <c r="D119" s="29" t="s">
        <v>7</v>
      </c>
      <c r="E119" s="29" t="s">
        <v>8</v>
      </c>
      <c r="F119" s="30" t="s">
        <v>37</v>
      </c>
    </row>
    <row r="120" spans="1:6" ht="53.25" customHeight="1" x14ac:dyDescent="0.15">
      <c r="A120" s="65" t="s">
        <v>277</v>
      </c>
      <c r="B120" s="66"/>
      <c r="C120" s="66"/>
      <c r="D120" s="66"/>
      <c r="E120" s="2"/>
      <c r="F120" s="41"/>
    </row>
    <row r="121" spans="1:6" ht="27" x14ac:dyDescent="0.15">
      <c r="A121" s="45">
        <v>1</v>
      </c>
      <c r="B121" s="40" t="s">
        <v>278</v>
      </c>
      <c r="C121" s="19" t="s">
        <v>282</v>
      </c>
      <c r="D121" s="19" t="s">
        <v>286</v>
      </c>
      <c r="E121" s="40">
        <v>100</v>
      </c>
      <c r="F121" s="41" t="s">
        <v>219</v>
      </c>
    </row>
    <row r="122" spans="1:6" x14ac:dyDescent="0.15">
      <c r="A122" s="45">
        <v>2</v>
      </c>
      <c r="B122" s="40" t="s">
        <v>350</v>
      </c>
      <c r="C122" s="19" t="s">
        <v>354</v>
      </c>
      <c r="D122" s="19" t="s">
        <v>337</v>
      </c>
      <c r="E122" s="51">
        <v>100</v>
      </c>
      <c r="F122" s="41" t="s">
        <v>219</v>
      </c>
    </row>
    <row r="123" spans="1:6" ht="29.25" customHeight="1" x14ac:dyDescent="0.15">
      <c r="A123" s="45">
        <v>3</v>
      </c>
      <c r="B123" s="40" t="s">
        <v>279</v>
      </c>
      <c r="C123" s="19" t="s">
        <v>283</v>
      </c>
      <c r="D123" s="19"/>
      <c r="E123" s="50">
        <f>1.8518*E13*E76*E122/1000</f>
        <v>9.9997200000000017</v>
      </c>
      <c r="F123" s="41" t="s">
        <v>219</v>
      </c>
    </row>
    <row r="124" spans="1:6" ht="21.75" customHeight="1" x14ac:dyDescent="0.15">
      <c r="A124" s="45">
        <v>4</v>
      </c>
      <c r="B124" s="40" t="s">
        <v>351</v>
      </c>
      <c r="C124" s="19" t="s">
        <v>355</v>
      </c>
      <c r="D124" s="19" t="s">
        <v>337</v>
      </c>
      <c r="E124" s="51">
        <v>10</v>
      </c>
      <c r="F124" s="41" t="s">
        <v>219</v>
      </c>
    </row>
    <row r="125" spans="1:6" ht="46.5" customHeight="1" x14ac:dyDescent="0.15">
      <c r="A125" s="45">
        <v>5</v>
      </c>
      <c r="B125" s="40" t="s">
        <v>280</v>
      </c>
      <c r="C125" s="19" t="s">
        <v>284</v>
      </c>
      <c r="D125" s="19"/>
      <c r="E125" s="25">
        <f>43.4783*E11*E76*E114/1000/1000</f>
        <v>2.8408721220000004</v>
      </c>
      <c r="F125" s="41" t="s">
        <v>219</v>
      </c>
    </row>
    <row r="126" spans="1:6" ht="21" customHeight="1" x14ac:dyDescent="0.15">
      <c r="A126" s="45">
        <v>6</v>
      </c>
      <c r="B126" s="40" t="s">
        <v>352</v>
      </c>
      <c r="C126" s="19" t="s">
        <v>356</v>
      </c>
      <c r="D126" s="19" t="s">
        <v>337</v>
      </c>
      <c r="E126" s="51">
        <v>2.7</v>
      </c>
      <c r="F126" s="41" t="s">
        <v>219</v>
      </c>
    </row>
    <row r="127" spans="1:6" ht="41.25" customHeight="1" x14ac:dyDescent="0.15">
      <c r="A127" s="45">
        <v>7</v>
      </c>
      <c r="B127" s="40" t="s">
        <v>281</v>
      </c>
      <c r="C127" s="19" t="s">
        <v>285</v>
      </c>
      <c r="D127" s="19"/>
      <c r="E127" s="50">
        <f>0.54*E126*1000/E12/E76</f>
        <v>6.7500000000000009</v>
      </c>
      <c r="F127" s="41" t="s">
        <v>219</v>
      </c>
    </row>
    <row r="128" spans="1:6" ht="23.25" customHeight="1" thickBot="1" x14ac:dyDescent="0.2">
      <c r="A128" s="22">
        <v>8</v>
      </c>
      <c r="B128" s="42" t="s">
        <v>353</v>
      </c>
      <c r="C128" s="38" t="s">
        <v>357</v>
      </c>
      <c r="D128" s="38" t="s">
        <v>337</v>
      </c>
      <c r="E128" s="52">
        <v>6.8</v>
      </c>
      <c r="F128" s="43" t="s">
        <v>219</v>
      </c>
    </row>
    <row r="129" spans="1:6" ht="30.75" customHeight="1" thickBot="1" x14ac:dyDescent="0.2"/>
    <row r="130" spans="1:6" ht="24.75" customHeight="1" x14ac:dyDescent="0.15">
      <c r="A130" s="28" t="s">
        <v>9</v>
      </c>
      <c r="B130" s="29" t="s">
        <v>5</v>
      </c>
      <c r="C130" s="29" t="s">
        <v>6</v>
      </c>
      <c r="D130" s="29" t="s">
        <v>7</v>
      </c>
      <c r="E130" s="29" t="s">
        <v>8</v>
      </c>
      <c r="F130" s="30" t="s">
        <v>37</v>
      </c>
    </row>
    <row r="131" spans="1:6" ht="53.25" customHeight="1" x14ac:dyDescent="0.15">
      <c r="A131" s="65" t="s">
        <v>287</v>
      </c>
      <c r="B131" s="66"/>
      <c r="C131" s="66"/>
      <c r="D131" s="66"/>
      <c r="E131" s="2"/>
      <c r="F131" s="41"/>
    </row>
    <row r="132" spans="1:6" ht="41.25" customHeight="1" x14ac:dyDescent="0.15">
      <c r="A132" s="45">
        <v>1</v>
      </c>
      <c r="B132" s="40" t="s">
        <v>288</v>
      </c>
      <c r="C132" s="19" t="s">
        <v>292</v>
      </c>
      <c r="D132" s="19"/>
      <c r="E132" s="50">
        <f>E9*(E10*E109*E6-2.3)*1000/E103/E10</f>
        <v>10.784571428571429</v>
      </c>
      <c r="F132" s="41" t="s">
        <v>219</v>
      </c>
    </row>
    <row r="133" spans="1:6" ht="36.75" customHeight="1" x14ac:dyDescent="0.15">
      <c r="A133" s="45">
        <v>2</v>
      </c>
      <c r="B133" s="40" t="s">
        <v>289</v>
      </c>
      <c r="C133" s="19" t="s">
        <v>293</v>
      </c>
      <c r="D133" s="19"/>
      <c r="E133" s="50">
        <f>2.3*(E9-E10)*1000/E103/E10</f>
        <v>5.9580952380952388</v>
      </c>
      <c r="F133" s="41" t="s">
        <v>219</v>
      </c>
    </row>
    <row r="134" spans="1:6" ht="40.5" customHeight="1" x14ac:dyDescent="0.15">
      <c r="A134" s="45">
        <v>3</v>
      </c>
      <c r="B134" s="40" t="s">
        <v>290</v>
      </c>
      <c r="C134" s="19" t="s">
        <v>294</v>
      </c>
      <c r="D134" s="19"/>
      <c r="E134" s="50">
        <f>2.3*(E9*E109*E6-2.3)*1000/E103/(E8*E109*E6-2.3)</f>
        <v>17.467967037121046</v>
      </c>
      <c r="F134" s="41" t="s">
        <v>219</v>
      </c>
    </row>
    <row r="135" spans="1:6" ht="41.25" customHeight="1" x14ac:dyDescent="0.15">
      <c r="A135" s="45">
        <v>4</v>
      </c>
      <c r="B135" s="40" t="s">
        <v>291</v>
      </c>
      <c r="C135" s="19" t="s">
        <v>295</v>
      </c>
      <c r="D135" s="19"/>
      <c r="E135" s="50">
        <f>2.3*(E9*E109*E6-2.3)*1000/E103/(E9-E8)/E109/E6</f>
        <v>125.47453024872362</v>
      </c>
      <c r="F135" s="41" t="s">
        <v>219</v>
      </c>
    </row>
    <row r="136" spans="1:6" ht="30.75" customHeight="1" x14ac:dyDescent="0.15">
      <c r="A136" s="45">
        <v>5</v>
      </c>
      <c r="B136" s="40" t="s">
        <v>362</v>
      </c>
      <c r="C136" s="19" t="s">
        <v>358</v>
      </c>
      <c r="D136" s="19"/>
      <c r="E136" s="50">
        <v>11</v>
      </c>
      <c r="F136" s="41" t="s">
        <v>219</v>
      </c>
    </row>
    <row r="137" spans="1:6" ht="26.25" customHeight="1" x14ac:dyDescent="0.15">
      <c r="A137" s="45">
        <v>6</v>
      </c>
      <c r="B137" s="40" t="s">
        <v>363</v>
      </c>
      <c r="C137" s="19" t="s">
        <v>359</v>
      </c>
      <c r="D137" s="19"/>
      <c r="E137" s="50">
        <v>6.2</v>
      </c>
      <c r="F137" s="41" t="s">
        <v>219</v>
      </c>
    </row>
    <row r="138" spans="1:6" ht="26.25" customHeight="1" x14ac:dyDescent="0.15">
      <c r="A138" s="45">
        <v>7</v>
      </c>
      <c r="B138" s="40" t="s">
        <v>364</v>
      </c>
      <c r="C138" s="19" t="s">
        <v>360</v>
      </c>
      <c r="D138" s="19"/>
      <c r="E138" s="50">
        <v>18</v>
      </c>
      <c r="F138" s="41" t="s">
        <v>219</v>
      </c>
    </row>
    <row r="139" spans="1:6" ht="22.5" customHeight="1" thickBot="1" x14ac:dyDescent="0.2">
      <c r="A139" s="22">
        <v>8</v>
      </c>
      <c r="B139" s="42" t="s">
        <v>365</v>
      </c>
      <c r="C139" s="38" t="s">
        <v>361</v>
      </c>
      <c r="D139" s="38"/>
      <c r="E139" s="27">
        <v>130</v>
      </c>
      <c r="F139" s="43" t="s">
        <v>219</v>
      </c>
    </row>
    <row r="140" spans="1:6" ht="26.25" customHeight="1" thickBot="1" x14ac:dyDescent="0.2"/>
    <row r="141" spans="1:6" ht="24.75" customHeight="1" x14ac:dyDescent="0.15">
      <c r="A141" s="28" t="s">
        <v>9</v>
      </c>
      <c r="B141" s="29" t="s">
        <v>5</v>
      </c>
      <c r="C141" s="29" t="s">
        <v>6</v>
      </c>
      <c r="D141" s="29" t="s">
        <v>7</v>
      </c>
      <c r="E141" s="29" t="s">
        <v>8</v>
      </c>
      <c r="F141" s="30" t="s">
        <v>37</v>
      </c>
    </row>
    <row r="142" spans="1:6" ht="53.25" customHeight="1" x14ac:dyDescent="0.15">
      <c r="A142" s="65" t="s">
        <v>296</v>
      </c>
      <c r="B142" s="66"/>
      <c r="C142" s="66"/>
      <c r="D142" s="66"/>
      <c r="E142" s="2"/>
      <c r="F142" s="41"/>
    </row>
    <row r="143" spans="1:6" ht="41.25" customHeight="1" x14ac:dyDescent="0.15">
      <c r="A143" s="45">
        <v>1</v>
      </c>
      <c r="B143" s="40" t="s">
        <v>297</v>
      </c>
      <c r="C143" s="19" t="s">
        <v>300</v>
      </c>
      <c r="D143" s="19"/>
      <c r="E143" s="50">
        <f>0.28*E26*E57*E126/(E19+E27+E28)/E76</f>
        <v>3.3498176063195184</v>
      </c>
      <c r="F143" s="41" t="s">
        <v>219</v>
      </c>
    </row>
    <row r="144" spans="1:6" ht="41.25" customHeight="1" x14ac:dyDescent="0.15">
      <c r="A144" s="45">
        <v>2</v>
      </c>
      <c r="B144" s="40" t="s">
        <v>366</v>
      </c>
      <c r="C144" s="19" t="s">
        <v>300</v>
      </c>
      <c r="D144" s="19"/>
      <c r="E144" s="50">
        <v>3.3</v>
      </c>
      <c r="F144" s="41" t="s">
        <v>219</v>
      </c>
    </row>
    <row r="145" spans="1:6" ht="36.75" customHeight="1" x14ac:dyDescent="0.15">
      <c r="A145" s="45">
        <v>3</v>
      </c>
      <c r="B145" s="40" t="s">
        <v>298</v>
      </c>
      <c r="C145" s="19" t="s">
        <v>301</v>
      </c>
      <c r="D145" s="19"/>
      <c r="E145" s="50">
        <f>10*1000/2/PI()/E144/E26</f>
        <v>9.6447895513688575</v>
      </c>
      <c r="F145" s="41" t="s">
        <v>191</v>
      </c>
    </row>
    <row r="146" spans="1:6" ht="36.75" customHeight="1" x14ac:dyDescent="0.15">
      <c r="A146" s="45">
        <v>4</v>
      </c>
      <c r="B146" s="40" t="s">
        <v>367</v>
      </c>
      <c r="C146" s="19" t="s">
        <v>301</v>
      </c>
      <c r="D146" s="19"/>
      <c r="E146" s="50">
        <v>10</v>
      </c>
      <c r="F146" s="41" t="s">
        <v>191</v>
      </c>
    </row>
    <row r="147" spans="1:6" ht="41.25" customHeight="1" x14ac:dyDescent="0.15">
      <c r="A147" s="45">
        <v>5</v>
      </c>
      <c r="B147" s="40" t="s">
        <v>299</v>
      </c>
      <c r="C147" s="19" t="s">
        <v>301</v>
      </c>
      <c r="D147" s="19"/>
      <c r="E147" s="50">
        <f>1*1000/2/PI()/E144/E26</f>
        <v>0.96447895513688564</v>
      </c>
      <c r="F147" s="41" t="s">
        <v>191</v>
      </c>
    </row>
    <row r="148" spans="1:6" ht="41.25" customHeight="1" thickBot="1" x14ac:dyDescent="0.2">
      <c r="A148" s="22">
        <v>6</v>
      </c>
      <c r="B148" s="42" t="s">
        <v>368</v>
      </c>
      <c r="C148" s="38" t="s">
        <v>301</v>
      </c>
      <c r="D148" s="38"/>
      <c r="E148" s="27">
        <v>1</v>
      </c>
      <c r="F148" s="43" t="s">
        <v>191</v>
      </c>
    </row>
    <row r="149" spans="1:6" ht="27.75" customHeight="1" thickBot="1" x14ac:dyDescent="0.2"/>
    <row r="150" spans="1:6" ht="24.75" customHeight="1" x14ac:dyDescent="0.15">
      <c r="A150" s="28" t="s">
        <v>302</v>
      </c>
      <c r="B150" s="29" t="s">
        <v>5</v>
      </c>
      <c r="C150" s="29" t="s">
        <v>6</v>
      </c>
      <c r="D150" s="29" t="s">
        <v>7</v>
      </c>
      <c r="E150" s="29" t="s">
        <v>8</v>
      </c>
      <c r="F150" s="30" t="s">
        <v>37</v>
      </c>
    </row>
    <row r="151" spans="1:6" ht="53.25" customHeight="1" x14ac:dyDescent="0.15">
      <c r="A151" s="65" t="s">
        <v>303</v>
      </c>
      <c r="B151" s="66"/>
      <c r="C151" s="66"/>
      <c r="D151" s="66"/>
      <c r="E151" s="2"/>
      <c r="F151" s="41"/>
    </row>
    <row r="152" spans="1:6" ht="41.25" customHeight="1" x14ac:dyDescent="0.15">
      <c r="A152" s="45">
        <v>1</v>
      </c>
      <c r="B152" s="44" t="s">
        <v>304</v>
      </c>
      <c r="C152" s="19" t="s">
        <v>305</v>
      </c>
      <c r="D152" s="19" t="s">
        <v>306</v>
      </c>
      <c r="E152" s="50">
        <v>1</v>
      </c>
      <c r="F152" s="41" t="s">
        <v>307</v>
      </c>
    </row>
    <row r="153" spans="1:6" ht="74.25" customHeight="1" x14ac:dyDescent="0.15">
      <c r="A153" s="45">
        <v>2</v>
      </c>
      <c r="B153" s="40" t="s">
        <v>308</v>
      </c>
      <c r="C153" s="19" t="s">
        <v>311</v>
      </c>
      <c r="D153" s="19"/>
      <c r="E153" s="50">
        <f>(0.625*E25*(E132+E133)*1000/(E109*E12*E26*E57*E19))*SQRT((1+(16*3.1415*E152*E26*E57*E66*E19/E25/1000000)*(16*3.1415*E152*E26*E57*E66*E19/E25/1000000))/(1+(2*3.1415*E152*E67*E66/1000000)*(2*3.1415*E152*E67*E66/1000000)))</f>
        <v>919.60810289420135</v>
      </c>
      <c r="F153" s="41" t="s">
        <v>219</v>
      </c>
    </row>
    <row r="154" spans="1:6" ht="74.25" customHeight="1" x14ac:dyDescent="0.15">
      <c r="A154" s="45">
        <v>3</v>
      </c>
      <c r="B154" s="40" t="s">
        <v>369</v>
      </c>
      <c r="C154" s="19" t="s">
        <v>311</v>
      </c>
      <c r="D154" s="19"/>
      <c r="E154" s="50">
        <v>910</v>
      </c>
      <c r="F154" s="41" t="s">
        <v>219</v>
      </c>
    </row>
    <row r="155" spans="1:6" ht="41.25" customHeight="1" x14ac:dyDescent="0.15">
      <c r="A155" s="45">
        <v>4</v>
      </c>
      <c r="B155" s="40" t="s">
        <v>309</v>
      </c>
      <c r="C155" s="19" t="s">
        <v>312</v>
      </c>
      <c r="D155" s="19"/>
      <c r="E155" s="50">
        <f>E66*E67/E154</f>
        <v>33.571428571428569</v>
      </c>
      <c r="F155" s="41" t="s">
        <v>313</v>
      </c>
    </row>
    <row r="156" spans="1:6" ht="41.25" customHeight="1" x14ac:dyDescent="0.15">
      <c r="A156" s="45">
        <v>5</v>
      </c>
      <c r="B156" s="40" t="s">
        <v>370</v>
      </c>
      <c r="C156" s="19" t="s">
        <v>312</v>
      </c>
      <c r="D156" s="19"/>
      <c r="E156" s="50">
        <v>33</v>
      </c>
      <c r="F156" s="41" t="s">
        <v>313</v>
      </c>
    </row>
    <row r="157" spans="1:6" ht="35.25" customHeight="1" x14ac:dyDescent="0.15">
      <c r="A157" s="45">
        <v>6</v>
      </c>
      <c r="B157" s="40" t="s">
        <v>310</v>
      </c>
      <c r="C157" s="19" t="s">
        <v>312</v>
      </c>
      <c r="D157" s="17"/>
      <c r="E157" s="50">
        <f>8*E26*E57*E66*E19/E25/E154/1000</f>
        <v>42.422000441802432</v>
      </c>
      <c r="F157" s="41" t="s">
        <v>191</v>
      </c>
    </row>
    <row r="158" spans="1:6" ht="35.25" customHeight="1" thickBot="1" x14ac:dyDescent="0.2">
      <c r="A158" s="22">
        <v>7</v>
      </c>
      <c r="B158" s="42" t="s">
        <v>371</v>
      </c>
      <c r="C158" s="38" t="s">
        <v>312</v>
      </c>
      <c r="D158" s="18"/>
      <c r="E158" s="27">
        <v>47</v>
      </c>
      <c r="F158" s="43" t="s">
        <v>191</v>
      </c>
    </row>
    <row r="159" spans="1:6" ht="28.5" customHeight="1" thickBot="1" x14ac:dyDescent="0.2"/>
    <row r="160" spans="1:6" ht="24.75" customHeight="1" x14ac:dyDescent="0.15">
      <c r="A160" s="28" t="s">
        <v>302</v>
      </c>
      <c r="B160" s="29" t="s">
        <v>5</v>
      </c>
      <c r="C160" s="29" t="s">
        <v>6</v>
      </c>
      <c r="D160" s="29" t="s">
        <v>7</v>
      </c>
      <c r="E160" s="29" t="s">
        <v>8</v>
      </c>
      <c r="F160" s="30" t="s">
        <v>37</v>
      </c>
    </row>
    <row r="161" spans="1:6" ht="53.25" customHeight="1" x14ac:dyDescent="0.15">
      <c r="A161" s="67" t="s">
        <v>315</v>
      </c>
      <c r="B161" s="68"/>
      <c r="C161" s="68"/>
      <c r="D161" s="69"/>
      <c r="E161" s="2"/>
      <c r="F161" s="41"/>
    </row>
    <row r="162" spans="1:6" ht="30.75" customHeight="1" x14ac:dyDescent="0.15">
      <c r="A162" s="10">
        <v>1</v>
      </c>
      <c r="B162" s="8" t="s">
        <v>316</v>
      </c>
      <c r="C162" s="19" t="s">
        <v>318</v>
      </c>
      <c r="D162" s="19" t="s">
        <v>320</v>
      </c>
      <c r="E162" s="50" t="s">
        <v>322</v>
      </c>
      <c r="F162" s="12" t="s">
        <v>157</v>
      </c>
    </row>
    <row r="163" spans="1:6" ht="33.75" customHeight="1" x14ac:dyDescent="0.15">
      <c r="A163" s="10">
        <v>2</v>
      </c>
      <c r="B163" s="8" t="s">
        <v>317</v>
      </c>
      <c r="C163" s="19" t="s">
        <v>319</v>
      </c>
      <c r="D163" s="19" t="s">
        <v>321</v>
      </c>
      <c r="E163" s="50" t="s">
        <v>323</v>
      </c>
      <c r="F163" s="12" t="s">
        <v>157</v>
      </c>
    </row>
    <row r="164" spans="1:6" ht="41.25" customHeight="1" x14ac:dyDescent="0.15">
      <c r="A164" s="10">
        <v>3</v>
      </c>
      <c r="B164" s="8" t="s">
        <v>324</v>
      </c>
      <c r="C164" s="19" t="s">
        <v>328</v>
      </c>
      <c r="D164" s="19" t="s">
        <v>329</v>
      </c>
      <c r="E164" s="50" t="s">
        <v>217</v>
      </c>
      <c r="F164" s="12" t="s">
        <v>157</v>
      </c>
    </row>
    <row r="165" spans="1:6" ht="35.25" customHeight="1" x14ac:dyDescent="0.15">
      <c r="A165" s="10">
        <v>4</v>
      </c>
      <c r="B165" s="9" t="s">
        <v>325</v>
      </c>
      <c r="C165" s="19" t="s">
        <v>330</v>
      </c>
      <c r="D165" s="19" t="s">
        <v>333</v>
      </c>
      <c r="E165" s="50">
        <f>4.3/0.01</f>
        <v>430</v>
      </c>
      <c r="F165" s="12" t="s">
        <v>193</v>
      </c>
    </row>
    <row r="166" spans="1:6" ht="40.5" x14ac:dyDescent="0.15">
      <c r="A166" s="10">
        <v>5</v>
      </c>
      <c r="B166" s="9" t="s">
        <v>326</v>
      </c>
      <c r="C166" s="19" t="s">
        <v>331</v>
      </c>
      <c r="D166" s="17"/>
      <c r="E166" s="9">
        <f>(E24-7)/0.01/1000</f>
        <v>1.1000000000000001</v>
      </c>
      <c r="F166" s="12" t="s">
        <v>219</v>
      </c>
    </row>
    <row r="167" spans="1:6" ht="14.25" thickBot="1" x14ac:dyDescent="0.2">
      <c r="A167" s="22">
        <v>6</v>
      </c>
      <c r="B167" s="13" t="s">
        <v>327</v>
      </c>
      <c r="C167" s="18" t="s">
        <v>332</v>
      </c>
      <c r="D167" s="18" t="s">
        <v>286</v>
      </c>
      <c r="E167" s="13">
        <v>10</v>
      </c>
      <c r="F167" s="14" t="s">
        <v>219</v>
      </c>
    </row>
  </sheetData>
  <mergeCells count="13">
    <mergeCell ref="A142:D142"/>
    <mergeCell ref="A151:D151"/>
    <mergeCell ref="A161:D161"/>
    <mergeCell ref="A90:D90"/>
    <mergeCell ref="A101:D101"/>
    <mergeCell ref="A112:D112"/>
    <mergeCell ref="A120:D120"/>
    <mergeCell ref="A131:D131"/>
    <mergeCell ref="A1:F1"/>
    <mergeCell ref="A3:D4"/>
    <mergeCell ref="A23:D23"/>
    <mergeCell ref="A33:D33"/>
    <mergeCell ref="A81:D81"/>
  </mergeCells>
  <phoneticPr fontId="2" type="noConversion"/>
  <pageMargins left="0.7" right="0.7" top="0.75" bottom="0.75" header="0.3" footer="0.3"/>
  <pageSetup paperSize="9" orientation="portrait" horizontalDpi="300" verticalDpi="300" copies="0" r:id="rId1"/>
  <drawing r:id="rId2"/>
  <legacyDrawing r:id="rId3"/>
  <oleObjects>
    <mc:AlternateContent xmlns:mc="http://schemas.openxmlformats.org/markup-compatibility/2006">
      <mc:Choice Requires="x14">
        <oleObject progId="包装程序外壳对象" dvAspect="DVASPECT_ICON" shapeId="3073" r:id="rId4">
          <objectPr defaultSize="0" r:id="rId5">
            <anchor moveWithCells="1">
              <from>
                <xdr:col>1</xdr:col>
                <xdr:colOff>247650</xdr:colOff>
                <xdr:row>0</xdr:row>
                <xdr:rowOff>104775</xdr:rowOff>
              </from>
              <to>
                <xdr:col>2</xdr:col>
                <xdr:colOff>771525</xdr:colOff>
                <xdr:row>0</xdr:row>
                <xdr:rowOff>638175</xdr:rowOff>
              </to>
            </anchor>
          </objectPr>
        </oleObject>
      </mc:Choice>
      <mc:Fallback>
        <oleObject progId="包装程序外壳对象" dvAspect="DVASPECT_ICON" shapeId="3073" r:id="rId4"/>
      </mc:Fallback>
    </mc:AlternateContent>
    <mc:AlternateContent xmlns:mc="http://schemas.openxmlformats.org/markup-compatibility/2006">
      <mc:Choice Requires="x14">
        <oleObject progId="包装程序外壳对象" dvAspect="DVASPECT_ICON" shapeId="3075" r:id="rId6">
          <objectPr defaultSize="0" r:id="rId7">
            <anchor moveWithCells="1">
              <from>
                <xdr:col>2</xdr:col>
                <xdr:colOff>942975</xdr:colOff>
                <xdr:row>0</xdr:row>
                <xdr:rowOff>104775</xdr:rowOff>
              </from>
              <to>
                <xdr:col>3</xdr:col>
                <xdr:colOff>619125</xdr:colOff>
                <xdr:row>0</xdr:row>
                <xdr:rowOff>638175</xdr:rowOff>
              </to>
            </anchor>
          </objectPr>
        </oleObject>
      </mc:Choice>
      <mc:Fallback>
        <oleObject progId="包装程序外壳对象" dvAspect="DVASPECT_ICON" shapeId="3075" r:id="rId6"/>
      </mc:Fallback>
    </mc:AlternateContent>
    <mc:AlternateContent xmlns:mc="http://schemas.openxmlformats.org/markup-compatibility/2006">
      <mc:Choice Requires="x14">
        <oleObject progId="包装程序外壳对象" dvAspect="DVASPECT_ICON" shapeId="3076" r:id="rId8">
          <objectPr defaultSize="0" autoPict="0" r:id="rId9">
            <anchor moveWithCells="1">
              <from>
                <xdr:col>3</xdr:col>
                <xdr:colOff>1104900</xdr:colOff>
                <xdr:row>0</xdr:row>
                <xdr:rowOff>85725</xdr:rowOff>
              </from>
              <to>
                <xdr:col>3</xdr:col>
                <xdr:colOff>2019300</xdr:colOff>
                <xdr:row>0</xdr:row>
                <xdr:rowOff>647700</xdr:rowOff>
              </to>
            </anchor>
          </objectPr>
        </oleObject>
      </mc:Choice>
      <mc:Fallback>
        <oleObject progId="包装程序外壳对象" dvAspect="DVASPECT_ICON" shapeId="3076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67"/>
  <sheetViews>
    <sheetView tabSelected="1" topLeftCell="A160" workbookViewId="0">
      <selection activeCell="D182" sqref="D182"/>
    </sheetView>
  </sheetViews>
  <sheetFormatPr defaultRowHeight="13.5" x14ac:dyDescent="0.15"/>
  <cols>
    <col min="1" max="1" width="9" style="15" customWidth="1"/>
    <col min="2" max="2" width="13.25" style="15" customWidth="1"/>
    <col min="3" max="3" width="24.375" style="1" customWidth="1"/>
    <col min="4" max="4" width="38.875" style="1" customWidth="1"/>
    <col min="5" max="5" width="13.25" style="15" customWidth="1"/>
    <col min="6" max="6" width="9" style="15"/>
    <col min="7" max="7" width="12.25" style="15" customWidth="1"/>
  </cols>
  <sheetData>
    <row r="1" spans="1:7" ht="72.75" customHeight="1" thickBot="1" x14ac:dyDescent="0.2">
      <c r="A1" s="62" t="s">
        <v>80</v>
      </c>
      <c r="B1" s="62"/>
      <c r="C1" s="62"/>
      <c r="D1" s="62"/>
      <c r="E1" s="62"/>
      <c r="F1" s="62"/>
    </row>
    <row r="2" spans="1:7" s="15" customFormat="1" ht="29.25" customHeight="1" x14ac:dyDescent="0.15">
      <c r="A2" s="28" t="s">
        <v>9</v>
      </c>
      <c r="B2" s="29" t="s">
        <v>5</v>
      </c>
      <c r="C2" s="29" t="s">
        <v>6</v>
      </c>
      <c r="D2" s="29" t="s">
        <v>7</v>
      </c>
      <c r="E2" s="29" t="s">
        <v>8</v>
      </c>
      <c r="F2" s="30" t="s">
        <v>37</v>
      </c>
      <c r="G2" s="47"/>
    </row>
    <row r="3" spans="1:7" s="15" customFormat="1" ht="24" customHeight="1" x14ac:dyDescent="0.15">
      <c r="A3" s="63" t="s">
        <v>39</v>
      </c>
      <c r="B3" s="64"/>
      <c r="C3" s="64"/>
      <c r="D3" s="64"/>
      <c r="E3" s="24">
        <v>24</v>
      </c>
      <c r="F3" s="41" t="s">
        <v>0</v>
      </c>
      <c r="G3" s="47"/>
    </row>
    <row r="4" spans="1:7" s="15" customFormat="1" ht="24" customHeight="1" x14ac:dyDescent="0.15">
      <c r="A4" s="63"/>
      <c r="B4" s="64"/>
      <c r="C4" s="64"/>
      <c r="D4" s="64"/>
      <c r="E4" s="24">
        <v>7</v>
      </c>
      <c r="F4" s="41" t="s">
        <v>38</v>
      </c>
      <c r="G4" s="47"/>
    </row>
    <row r="5" spans="1:7" x14ac:dyDescent="0.15">
      <c r="A5" s="45">
        <v>1</v>
      </c>
      <c r="B5" s="40" t="s">
        <v>0</v>
      </c>
      <c r="C5" s="17" t="s">
        <v>23</v>
      </c>
      <c r="D5" s="17"/>
      <c r="E5" s="24">
        <f>E3</f>
        <v>24</v>
      </c>
      <c r="F5" s="41" t="s">
        <v>0</v>
      </c>
      <c r="G5" s="47"/>
    </row>
    <row r="6" spans="1:7" x14ac:dyDescent="0.15">
      <c r="A6" s="45">
        <v>2</v>
      </c>
      <c r="B6" s="40" t="s">
        <v>11</v>
      </c>
      <c r="C6" s="17" t="s">
        <v>24</v>
      </c>
      <c r="D6" s="17" t="s">
        <v>25</v>
      </c>
      <c r="E6" s="24">
        <f>E3/2</f>
        <v>12</v>
      </c>
      <c r="F6" s="41" t="s">
        <v>4</v>
      </c>
      <c r="G6" s="47"/>
    </row>
    <row r="7" spans="1:7" ht="27" x14ac:dyDescent="0.15">
      <c r="A7" s="45">
        <v>3</v>
      </c>
      <c r="B7" s="40" t="s">
        <v>35</v>
      </c>
      <c r="C7" s="17" t="s">
        <v>24</v>
      </c>
      <c r="D7" s="19" t="s">
        <v>26</v>
      </c>
      <c r="E7" s="40">
        <f>E4/10</f>
        <v>0.7</v>
      </c>
      <c r="F7" s="41" t="s">
        <v>38</v>
      </c>
      <c r="G7" s="47"/>
    </row>
    <row r="8" spans="1:7" ht="27" x14ac:dyDescent="0.15">
      <c r="A8" s="45">
        <v>4</v>
      </c>
      <c r="B8" s="40" t="s">
        <v>12</v>
      </c>
      <c r="C8" s="17" t="s">
        <v>27</v>
      </c>
      <c r="D8" s="19" t="s">
        <v>28</v>
      </c>
      <c r="E8" s="40">
        <v>2.2749999999999999</v>
      </c>
      <c r="F8" s="41" t="s">
        <v>0</v>
      </c>
      <c r="G8" s="47"/>
    </row>
    <row r="9" spans="1:7" ht="27" x14ac:dyDescent="0.15">
      <c r="A9" s="45">
        <v>5</v>
      </c>
      <c r="B9" s="40" t="s">
        <v>13</v>
      </c>
      <c r="C9" s="17" t="s">
        <v>29</v>
      </c>
      <c r="D9" s="19" t="s">
        <v>30</v>
      </c>
      <c r="E9" s="40">
        <v>2.4300000000000002</v>
      </c>
      <c r="F9" s="41" t="s">
        <v>0</v>
      </c>
      <c r="G9" s="47"/>
    </row>
    <row r="10" spans="1:7" ht="27" x14ac:dyDescent="0.15">
      <c r="A10" s="45">
        <v>6</v>
      </c>
      <c r="B10" s="40" t="s">
        <v>14</v>
      </c>
      <c r="C10" s="17" t="s">
        <v>31</v>
      </c>
      <c r="D10" s="19" t="s">
        <v>32</v>
      </c>
      <c r="E10" s="40">
        <v>1.75</v>
      </c>
      <c r="F10" s="41" t="s">
        <v>0</v>
      </c>
      <c r="G10" s="47"/>
    </row>
    <row r="11" spans="1:7" ht="27" x14ac:dyDescent="0.15">
      <c r="A11" s="45">
        <v>7</v>
      </c>
      <c r="B11" s="20" t="s">
        <v>34</v>
      </c>
      <c r="C11" s="19" t="s">
        <v>33</v>
      </c>
      <c r="D11" s="19" t="s">
        <v>36</v>
      </c>
      <c r="E11" s="24">
        <v>45</v>
      </c>
      <c r="F11" s="41" t="s">
        <v>3</v>
      </c>
      <c r="G11" s="47"/>
    </row>
    <row r="12" spans="1:7" ht="27" x14ac:dyDescent="0.15">
      <c r="A12" s="45">
        <v>8</v>
      </c>
      <c r="B12" s="20" t="s">
        <v>15</v>
      </c>
      <c r="C12" s="19" t="s">
        <v>41</v>
      </c>
      <c r="D12" s="19" t="s">
        <v>44</v>
      </c>
      <c r="E12" s="24">
        <v>0.6</v>
      </c>
      <c r="F12" s="41" t="s">
        <v>2</v>
      </c>
      <c r="G12" s="47"/>
    </row>
    <row r="13" spans="1:7" ht="27" x14ac:dyDescent="0.15">
      <c r="A13" s="45">
        <v>9</v>
      </c>
      <c r="B13" s="20" t="s">
        <v>45</v>
      </c>
      <c r="C13" s="19" t="s">
        <v>43</v>
      </c>
      <c r="D13" s="19" t="s">
        <v>46</v>
      </c>
      <c r="E13" s="24">
        <v>0.1</v>
      </c>
      <c r="F13" s="41" t="s">
        <v>2</v>
      </c>
      <c r="G13" s="47"/>
    </row>
    <row r="14" spans="1:7" ht="54" x14ac:dyDescent="0.15">
      <c r="A14" s="45">
        <v>10</v>
      </c>
      <c r="B14" s="20" t="s">
        <v>16</v>
      </c>
      <c r="C14" s="19" t="s">
        <v>47</v>
      </c>
      <c r="D14" s="19" t="s">
        <v>376</v>
      </c>
      <c r="E14" s="40">
        <v>0</v>
      </c>
      <c r="F14" s="41" t="s">
        <v>49</v>
      </c>
      <c r="G14" s="47"/>
    </row>
    <row r="15" spans="1:7" ht="27" x14ac:dyDescent="0.15">
      <c r="A15" s="45">
        <v>11</v>
      </c>
      <c r="B15" s="20" t="s">
        <v>17</v>
      </c>
      <c r="C15" s="19" t="s">
        <v>50</v>
      </c>
      <c r="D15" s="17" t="s">
        <v>56</v>
      </c>
      <c r="E15" s="61">
        <v>-10</v>
      </c>
      <c r="F15" s="41" t="s">
        <v>58</v>
      </c>
      <c r="G15" s="47"/>
    </row>
    <row r="16" spans="1:7" ht="27" x14ac:dyDescent="0.15">
      <c r="A16" s="45">
        <v>12</v>
      </c>
      <c r="B16" s="20" t="s">
        <v>18</v>
      </c>
      <c r="C16" s="19" t="s">
        <v>51</v>
      </c>
      <c r="D16" s="17" t="s">
        <v>56</v>
      </c>
      <c r="E16" s="61">
        <v>70</v>
      </c>
      <c r="F16" s="41" t="s">
        <v>58</v>
      </c>
      <c r="G16" s="47"/>
    </row>
    <row r="17" spans="1:7" ht="27" x14ac:dyDescent="0.15">
      <c r="A17" s="45">
        <v>13</v>
      </c>
      <c r="B17" s="20" t="s">
        <v>19</v>
      </c>
      <c r="C17" s="17" t="s">
        <v>52</v>
      </c>
      <c r="D17" s="19" t="s">
        <v>57</v>
      </c>
      <c r="E17" s="24">
        <f>E8*E6</f>
        <v>27.299999999999997</v>
      </c>
      <c r="F17" s="41" t="s">
        <v>0</v>
      </c>
      <c r="G17" s="47"/>
    </row>
    <row r="18" spans="1:7" ht="43.5" customHeight="1" x14ac:dyDescent="0.15">
      <c r="A18" s="45">
        <v>14</v>
      </c>
      <c r="B18" s="20" t="s">
        <v>20</v>
      </c>
      <c r="C18" s="17" t="s">
        <v>53</v>
      </c>
      <c r="D18" s="17"/>
      <c r="E18" s="59">
        <f>(E10+(E16-25)*E14/1000)*E6</f>
        <v>21</v>
      </c>
      <c r="F18" s="41" t="s">
        <v>0</v>
      </c>
      <c r="G18" s="47"/>
    </row>
    <row r="19" spans="1:7" ht="37.5" customHeight="1" x14ac:dyDescent="0.15">
      <c r="A19" s="45">
        <v>15</v>
      </c>
      <c r="B19" s="20" t="s">
        <v>21</v>
      </c>
      <c r="C19" s="17" t="s">
        <v>54</v>
      </c>
      <c r="D19" s="17"/>
      <c r="E19" s="59">
        <f>(E9+(E15-25)*E14/1000)*E6</f>
        <v>29.160000000000004</v>
      </c>
      <c r="F19" s="41" t="s">
        <v>0</v>
      </c>
      <c r="G19" s="47"/>
    </row>
    <row r="20" spans="1:7" ht="14.25" thickBot="1" x14ac:dyDescent="0.2">
      <c r="A20" s="22">
        <v>16</v>
      </c>
      <c r="B20" s="21" t="s">
        <v>22</v>
      </c>
      <c r="C20" s="18" t="s">
        <v>55</v>
      </c>
      <c r="D20" s="18" t="s">
        <v>59</v>
      </c>
      <c r="E20" s="27">
        <f>E12*E19</f>
        <v>17.496000000000002</v>
      </c>
      <c r="F20" s="43" t="s">
        <v>60</v>
      </c>
      <c r="G20" s="47"/>
    </row>
    <row r="21" spans="1:7" ht="27.75" customHeight="1" thickBot="1" x14ac:dyDescent="0.2"/>
    <row r="22" spans="1:7" ht="24.75" customHeight="1" x14ac:dyDescent="0.15">
      <c r="A22" s="28" t="s">
        <v>9</v>
      </c>
      <c r="B22" s="29" t="s">
        <v>5</v>
      </c>
      <c r="C22" s="29" t="s">
        <v>6</v>
      </c>
      <c r="D22" s="29" t="s">
        <v>7</v>
      </c>
      <c r="E22" s="29" t="s">
        <v>8</v>
      </c>
      <c r="F22" s="30" t="s">
        <v>37</v>
      </c>
    </row>
    <row r="23" spans="1:7" ht="37.5" customHeight="1" x14ac:dyDescent="0.15">
      <c r="A23" s="63" t="s">
        <v>61</v>
      </c>
      <c r="B23" s="64"/>
      <c r="C23" s="64"/>
      <c r="D23" s="64"/>
      <c r="E23" s="2"/>
      <c r="F23" s="41"/>
    </row>
    <row r="24" spans="1:7" x14ac:dyDescent="0.15">
      <c r="A24" s="45">
        <v>1</v>
      </c>
      <c r="B24" s="40" t="s">
        <v>69</v>
      </c>
      <c r="C24" s="17" t="s">
        <v>62</v>
      </c>
      <c r="D24" s="17"/>
      <c r="E24" s="24">
        <v>31.8</v>
      </c>
      <c r="F24" s="41" t="s">
        <v>0</v>
      </c>
    </row>
    <row r="25" spans="1:7" x14ac:dyDescent="0.15">
      <c r="A25" s="45">
        <v>2</v>
      </c>
      <c r="B25" s="40" t="s">
        <v>70</v>
      </c>
      <c r="C25" s="17" t="s">
        <v>63</v>
      </c>
      <c r="D25" s="17"/>
      <c r="E25" s="24">
        <v>32.200000000000003</v>
      </c>
      <c r="F25" s="41" t="s">
        <v>0</v>
      </c>
    </row>
    <row r="26" spans="1:7" x14ac:dyDescent="0.15">
      <c r="A26" s="45">
        <v>3</v>
      </c>
      <c r="B26" s="40" t="s">
        <v>71</v>
      </c>
      <c r="C26" s="17" t="s">
        <v>64</v>
      </c>
      <c r="D26" s="19"/>
      <c r="E26" s="50">
        <f>1*1000/1.2/E114/E115</f>
        <v>72.463768115942031</v>
      </c>
      <c r="F26" s="41" t="s">
        <v>77</v>
      </c>
    </row>
    <row r="27" spans="1:7" ht="27" x14ac:dyDescent="0.15">
      <c r="A27" s="45">
        <v>4</v>
      </c>
      <c r="B27" s="40" t="s">
        <v>72</v>
      </c>
      <c r="C27" s="19" t="s">
        <v>65</v>
      </c>
      <c r="D27" s="19" t="s">
        <v>76</v>
      </c>
      <c r="E27" s="24">
        <v>0.5</v>
      </c>
      <c r="F27" s="41" t="s">
        <v>0</v>
      </c>
    </row>
    <row r="28" spans="1:7" ht="27" x14ac:dyDescent="0.15">
      <c r="A28" s="45">
        <v>5</v>
      </c>
      <c r="B28" s="40" t="s">
        <v>73</v>
      </c>
      <c r="C28" s="19" t="s">
        <v>66</v>
      </c>
      <c r="D28" s="19" t="s">
        <v>76</v>
      </c>
      <c r="E28" s="24">
        <v>0.5</v>
      </c>
      <c r="F28" s="41" t="s">
        <v>0</v>
      </c>
    </row>
    <row r="29" spans="1:7" ht="37.5" customHeight="1" x14ac:dyDescent="0.15">
      <c r="A29" s="45">
        <v>6</v>
      </c>
      <c r="B29" s="40" t="s">
        <v>74</v>
      </c>
      <c r="C29" s="17" t="s">
        <v>67</v>
      </c>
      <c r="D29" s="17"/>
      <c r="E29" s="25">
        <f>(E19+E27+E28)/(E24+E28)</f>
        <v>0.93374613003095996</v>
      </c>
      <c r="F29" s="41" t="s">
        <v>4</v>
      </c>
    </row>
    <row r="30" spans="1:7" ht="34.5" customHeight="1" thickBot="1" x14ac:dyDescent="0.2">
      <c r="A30" s="22">
        <v>7</v>
      </c>
      <c r="B30" s="42" t="s">
        <v>75</v>
      </c>
      <c r="C30" s="18" t="s">
        <v>68</v>
      </c>
      <c r="D30" s="18"/>
      <c r="E30" s="26">
        <f>(E18+E28+E29)/(E25+E28)</f>
        <v>0.68604728226394374</v>
      </c>
      <c r="F30" s="43" t="s">
        <v>4</v>
      </c>
    </row>
    <row r="31" spans="1:7" ht="24.75" customHeight="1" thickBot="1" x14ac:dyDescent="0.2"/>
    <row r="32" spans="1:7" ht="18" customHeight="1" x14ac:dyDescent="0.15">
      <c r="A32" s="28" t="s">
        <v>9</v>
      </c>
      <c r="B32" s="29" t="s">
        <v>5</v>
      </c>
      <c r="C32" s="29" t="s">
        <v>6</v>
      </c>
      <c r="D32" s="29" t="s">
        <v>7</v>
      </c>
      <c r="E32" s="29" t="s">
        <v>8</v>
      </c>
      <c r="F32" s="30" t="s">
        <v>37</v>
      </c>
    </row>
    <row r="33" spans="1:7" ht="35.25" customHeight="1" x14ac:dyDescent="0.15">
      <c r="A33" s="63" t="s">
        <v>79</v>
      </c>
      <c r="B33" s="64"/>
      <c r="C33" s="64"/>
      <c r="D33" s="64"/>
      <c r="E33" s="2"/>
      <c r="F33" s="41"/>
    </row>
    <row r="34" spans="1:7" s="16" customFormat="1" ht="33.75" customHeight="1" x14ac:dyDescent="0.15">
      <c r="A34" s="46">
        <v>1</v>
      </c>
      <c r="B34" s="44" t="s">
        <v>81</v>
      </c>
      <c r="C34" s="19" t="s">
        <v>82</v>
      </c>
      <c r="D34" s="19" t="s">
        <v>84</v>
      </c>
      <c r="E34" s="32">
        <f>1.5*E19</f>
        <v>43.740000000000009</v>
      </c>
      <c r="F34" s="33" t="s">
        <v>0</v>
      </c>
      <c r="G34" s="34"/>
    </row>
    <row r="35" spans="1:7" s="16" customFormat="1" ht="27.75" customHeight="1" x14ac:dyDescent="0.15">
      <c r="A35" s="46">
        <v>2</v>
      </c>
      <c r="B35" s="31" t="s">
        <v>86</v>
      </c>
      <c r="C35" s="19" t="s">
        <v>83</v>
      </c>
      <c r="D35" s="19" t="s">
        <v>85</v>
      </c>
      <c r="E35" s="32">
        <f>2*E12</f>
        <v>1.2</v>
      </c>
      <c r="F35" s="33" t="s">
        <v>2</v>
      </c>
      <c r="G35" s="34"/>
    </row>
    <row r="36" spans="1:7" s="16" customFormat="1" ht="28.5" customHeight="1" x14ac:dyDescent="0.15">
      <c r="A36" s="46">
        <v>3</v>
      </c>
      <c r="B36" s="44" t="s">
        <v>87</v>
      </c>
      <c r="C36" s="19" t="s">
        <v>88</v>
      </c>
      <c r="D36" s="19" t="s">
        <v>89</v>
      </c>
      <c r="E36" s="44" t="s">
        <v>90</v>
      </c>
      <c r="F36" s="33" t="s">
        <v>4</v>
      </c>
      <c r="G36" s="34"/>
    </row>
    <row r="37" spans="1:7" s="16" customFormat="1" ht="42" customHeight="1" x14ac:dyDescent="0.15">
      <c r="A37" s="46">
        <v>4</v>
      </c>
      <c r="B37" s="44" t="s">
        <v>91</v>
      </c>
      <c r="C37" s="19" t="s">
        <v>92</v>
      </c>
      <c r="D37" s="19" t="s">
        <v>93</v>
      </c>
      <c r="E37" s="35">
        <f>E12*E27</f>
        <v>0.3</v>
      </c>
      <c r="F37" s="33" t="s">
        <v>60</v>
      </c>
      <c r="G37" s="34"/>
    </row>
    <row r="38" spans="1:7" s="16" customFormat="1" ht="29.25" customHeight="1" x14ac:dyDescent="0.15">
      <c r="A38" s="46">
        <v>5</v>
      </c>
      <c r="B38" s="44" t="s">
        <v>95</v>
      </c>
      <c r="C38" s="19" t="s">
        <v>82</v>
      </c>
      <c r="D38" s="19" t="s">
        <v>96</v>
      </c>
      <c r="E38" s="44">
        <f>1.5*E25</f>
        <v>48.300000000000004</v>
      </c>
      <c r="F38" s="33" t="s">
        <v>0</v>
      </c>
      <c r="G38" s="34"/>
    </row>
    <row r="39" spans="1:7" s="16" customFormat="1" ht="27" x14ac:dyDescent="0.15">
      <c r="A39" s="46">
        <v>6</v>
      </c>
      <c r="B39" s="31" t="s">
        <v>94</v>
      </c>
      <c r="C39" s="19" t="s">
        <v>83</v>
      </c>
      <c r="D39" s="19" t="s">
        <v>85</v>
      </c>
      <c r="E39" s="44">
        <f>2*E12</f>
        <v>1.2</v>
      </c>
      <c r="F39" s="33" t="s">
        <v>2</v>
      </c>
      <c r="G39" s="34"/>
    </row>
    <row r="40" spans="1:7" s="16" customFormat="1" x14ac:dyDescent="0.15">
      <c r="A40" s="46">
        <v>7</v>
      </c>
      <c r="B40" s="44" t="s">
        <v>97</v>
      </c>
      <c r="C40" s="19" t="s">
        <v>98</v>
      </c>
      <c r="D40" s="19" t="s">
        <v>99</v>
      </c>
      <c r="E40" s="44" t="s">
        <v>100</v>
      </c>
      <c r="F40" s="33" t="s">
        <v>4</v>
      </c>
      <c r="G40" s="34"/>
    </row>
    <row r="41" spans="1:7" s="16" customFormat="1" ht="27" x14ac:dyDescent="0.15">
      <c r="A41" s="46">
        <v>8</v>
      </c>
      <c r="B41" s="44" t="s">
        <v>101</v>
      </c>
      <c r="C41" s="19" t="s">
        <v>102</v>
      </c>
      <c r="D41" s="19" t="s">
        <v>103</v>
      </c>
      <c r="E41" s="44">
        <v>35</v>
      </c>
      <c r="F41" s="33" t="s">
        <v>104</v>
      </c>
      <c r="G41" s="34"/>
    </row>
    <row r="42" spans="1:7" s="16" customFormat="1" ht="27" x14ac:dyDescent="0.15">
      <c r="A42" s="46">
        <v>9</v>
      </c>
      <c r="B42" s="44" t="s">
        <v>105</v>
      </c>
      <c r="C42" s="19" t="s">
        <v>106</v>
      </c>
      <c r="D42" s="19" t="s">
        <v>103</v>
      </c>
      <c r="E42" s="44">
        <v>0.5</v>
      </c>
      <c r="F42" s="33" t="s">
        <v>2</v>
      </c>
      <c r="G42" s="34"/>
    </row>
    <row r="43" spans="1:7" s="16" customFormat="1" ht="40.5" x14ac:dyDescent="0.15">
      <c r="A43" s="46">
        <v>10</v>
      </c>
      <c r="B43" s="44" t="s">
        <v>107</v>
      </c>
      <c r="C43" s="19" t="s">
        <v>92</v>
      </c>
      <c r="D43" s="19"/>
      <c r="E43" s="35">
        <f>E12*(1-E30)*E28+0.25*E42*E25*E41*E26/1000000</f>
        <v>0.10439414865415021</v>
      </c>
      <c r="F43" s="33" t="s">
        <v>60</v>
      </c>
      <c r="G43" s="34"/>
    </row>
    <row r="44" spans="1:7" s="16" customFormat="1" ht="40.5" x14ac:dyDescent="0.15">
      <c r="A44" s="46">
        <v>11</v>
      </c>
      <c r="B44" s="44" t="s">
        <v>109</v>
      </c>
      <c r="C44" s="19" t="s">
        <v>110</v>
      </c>
      <c r="D44" s="19" t="s">
        <v>113</v>
      </c>
      <c r="E44" s="44">
        <f>1.5*E25</f>
        <v>48.300000000000004</v>
      </c>
      <c r="F44" s="33" t="s">
        <v>0</v>
      </c>
      <c r="G44" s="34"/>
    </row>
    <row r="45" spans="1:7" s="16" customFormat="1" ht="40.5" x14ac:dyDescent="0.15">
      <c r="A45" s="46">
        <v>12</v>
      </c>
      <c r="B45" s="44" t="s">
        <v>108</v>
      </c>
      <c r="C45" s="19" t="s">
        <v>111</v>
      </c>
      <c r="D45" s="19" t="s">
        <v>112</v>
      </c>
      <c r="E45" s="44">
        <f>4*E12</f>
        <v>2.4</v>
      </c>
      <c r="F45" s="33" t="s">
        <v>2</v>
      </c>
      <c r="G45" s="34"/>
    </row>
    <row r="46" spans="1:7" s="16" customFormat="1" x14ac:dyDescent="0.15">
      <c r="A46" s="46">
        <v>13</v>
      </c>
      <c r="B46" s="44" t="s">
        <v>114</v>
      </c>
      <c r="C46" s="19" t="s">
        <v>115</v>
      </c>
      <c r="D46" s="19" t="s">
        <v>116</v>
      </c>
      <c r="E46" s="44" t="s">
        <v>117</v>
      </c>
      <c r="F46" s="33" t="s">
        <v>4</v>
      </c>
      <c r="G46" s="34"/>
    </row>
    <row r="47" spans="1:7" s="16" customFormat="1" x14ac:dyDescent="0.15">
      <c r="A47" s="46">
        <v>14</v>
      </c>
      <c r="B47" s="31" t="s">
        <v>118</v>
      </c>
      <c r="C47" s="19" t="s">
        <v>119</v>
      </c>
      <c r="D47" s="19" t="s">
        <v>120</v>
      </c>
      <c r="E47" s="44">
        <v>200</v>
      </c>
      <c r="F47" s="33" t="s">
        <v>375</v>
      </c>
      <c r="G47" s="34"/>
    </row>
    <row r="48" spans="1:7" s="16" customFormat="1" ht="27" x14ac:dyDescent="0.15">
      <c r="A48" s="46">
        <v>15</v>
      </c>
      <c r="B48" s="31" t="s">
        <v>121</v>
      </c>
      <c r="C48" s="19" t="s">
        <v>122</v>
      </c>
      <c r="D48" s="19" t="s">
        <v>123</v>
      </c>
      <c r="E48" s="44">
        <v>160</v>
      </c>
      <c r="F48" s="33" t="s">
        <v>124</v>
      </c>
      <c r="G48" s="34"/>
    </row>
    <row r="49" spans="1:7" s="16" customFormat="1" x14ac:dyDescent="0.15">
      <c r="A49" s="46">
        <v>16</v>
      </c>
      <c r="B49" s="44" t="s">
        <v>125</v>
      </c>
      <c r="C49" s="19" t="s">
        <v>126</v>
      </c>
      <c r="D49" s="19" t="s">
        <v>127</v>
      </c>
      <c r="E49" s="44">
        <v>0.8</v>
      </c>
      <c r="F49" s="33" t="s">
        <v>2</v>
      </c>
      <c r="G49" s="34"/>
    </row>
    <row r="50" spans="1:7" s="16" customFormat="1" x14ac:dyDescent="0.15">
      <c r="A50" s="46">
        <v>17</v>
      </c>
      <c r="B50" s="31" t="s">
        <v>128</v>
      </c>
      <c r="C50" s="19" t="s">
        <v>130</v>
      </c>
      <c r="D50" s="19" t="s">
        <v>132</v>
      </c>
      <c r="E50" s="44">
        <v>3.1</v>
      </c>
      <c r="F50" s="33" t="s">
        <v>134</v>
      </c>
      <c r="G50" s="34"/>
    </row>
    <row r="51" spans="1:7" s="16" customFormat="1" x14ac:dyDescent="0.15">
      <c r="A51" s="46">
        <v>18</v>
      </c>
      <c r="B51" s="31" t="s">
        <v>129</v>
      </c>
      <c r="C51" s="19" t="s">
        <v>131</v>
      </c>
      <c r="D51" s="19" t="s">
        <v>133</v>
      </c>
      <c r="E51" s="44">
        <v>5.8</v>
      </c>
      <c r="F51" s="33" t="s">
        <v>134</v>
      </c>
      <c r="G51" s="34"/>
    </row>
    <row r="52" spans="1:7" s="16" customFormat="1" ht="34.5" customHeight="1" x14ac:dyDescent="0.15">
      <c r="A52" s="46">
        <v>19</v>
      </c>
      <c r="B52" s="44" t="s">
        <v>135</v>
      </c>
      <c r="C52" s="19" t="s">
        <v>136</v>
      </c>
      <c r="D52" s="19"/>
      <c r="E52" s="35">
        <f>(E50+E51)/E49</f>
        <v>11.125</v>
      </c>
      <c r="F52" s="33" t="s">
        <v>137</v>
      </c>
      <c r="G52" s="34"/>
    </row>
    <row r="53" spans="1:7" s="16" customFormat="1" ht="60.75" customHeight="1" x14ac:dyDescent="0.15">
      <c r="A53" s="46">
        <v>20</v>
      </c>
      <c r="B53" s="44" t="s">
        <v>138</v>
      </c>
      <c r="C53" s="19" t="s">
        <v>139</v>
      </c>
      <c r="D53" s="19"/>
      <c r="E53" s="35">
        <f>E12*E12*E29*E47*1.5/1000+0.5*E48*E25*E25*E26/1000000000+E25*E12*(E52+E52+E41)*E26/2/1000000</f>
        <v>0.14693024871001034</v>
      </c>
      <c r="F53" s="33" t="s">
        <v>60</v>
      </c>
      <c r="G53" s="34"/>
    </row>
    <row r="54" spans="1:7" s="16" customFormat="1" ht="27" x14ac:dyDescent="0.15">
      <c r="A54" s="46">
        <v>21</v>
      </c>
      <c r="B54" s="44" t="s">
        <v>141</v>
      </c>
      <c r="C54" s="19" t="s">
        <v>142</v>
      </c>
      <c r="D54" s="19" t="s">
        <v>143</v>
      </c>
      <c r="E54" s="35">
        <f>E37+E43+E53</f>
        <v>0.5513243973641605</v>
      </c>
      <c r="F54" s="33" t="s">
        <v>60</v>
      </c>
      <c r="G54" s="34"/>
    </row>
    <row r="55" spans="1:7" s="16" customFormat="1" ht="20.25" customHeight="1" x14ac:dyDescent="0.15">
      <c r="A55" s="46">
        <v>22</v>
      </c>
      <c r="B55" s="44" t="s">
        <v>144</v>
      </c>
      <c r="C55" s="19" t="s">
        <v>145</v>
      </c>
      <c r="D55" s="19" t="s">
        <v>146</v>
      </c>
      <c r="E55" s="54">
        <f>0.4*E12</f>
        <v>0.24</v>
      </c>
      <c r="F55" s="33" t="s">
        <v>2</v>
      </c>
      <c r="G55" s="34"/>
    </row>
    <row r="56" spans="1:7" s="16" customFormat="1" ht="33" customHeight="1" x14ac:dyDescent="0.15">
      <c r="A56" s="46">
        <v>23</v>
      </c>
      <c r="B56" s="44" t="s">
        <v>147</v>
      </c>
      <c r="C56" s="19" t="s">
        <v>148</v>
      </c>
      <c r="D56" s="19"/>
      <c r="E56" s="32">
        <f>E25/E55/4/E26*1000</f>
        <v>462.87500000000006</v>
      </c>
      <c r="F56" s="33" t="s">
        <v>149</v>
      </c>
      <c r="G56" s="34"/>
    </row>
    <row r="57" spans="1:7" s="16" customFormat="1" ht="33" customHeight="1" x14ac:dyDescent="0.15">
      <c r="A57" s="46">
        <v>24</v>
      </c>
      <c r="B57" s="44" t="s">
        <v>314</v>
      </c>
      <c r="C57" s="19" t="s">
        <v>148</v>
      </c>
      <c r="D57" s="19" t="s">
        <v>4</v>
      </c>
      <c r="E57" s="53">
        <v>470</v>
      </c>
      <c r="F57" s="33" t="s">
        <v>149</v>
      </c>
      <c r="G57" s="34"/>
    </row>
    <row r="58" spans="1:7" s="16" customFormat="1" ht="33.75" customHeight="1" x14ac:dyDescent="0.15">
      <c r="A58" s="46">
        <v>25</v>
      </c>
      <c r="B58" s="44" t="s">
        <v>151</v>
      </c>
      <c r="C58" s="19" t="s">
        <v>152</v>
      </c>
      <c r="D58" s="19"/>
      <c r="E58" s="32">
        <f>E12+E25*1000/8/E57/E26</f>
        <v>0.71818085106382978</v>
      </c>
      <c r="F58" s="33" t="s">
        <v>2</v>
      </c>
      <c r="G58" s="34"/>
    </row>
    <row r="59" spans="1:7" s="16" customFormat="1" ht="40.5" x14ac:dyDescent="0.15">
      <c r="A59" s="46">
        <v>26</v>
      </c>
      <c r="B59" s="44" t="s">
        <v>147</v>
      </c>
      <c r="C59" s="19" t="s">
        <v>154</v>
      </c>
      <c r="D59" s="19" t="s">
        <v>155</v>
      </c>
      <c r="E59" s="44" t="s">
        <v>156</v>
      </c>
      <c r="F59" s="33" t="s">
        <v>4</v>
      </c>
      <c r="G59" s="34"/>
    </row>
    <row r="60" spans="1:7" s="16" customFormat="1" ht="27" x14ac:dyDescent="0.15">
      <c r="A60" s="46">
        <v>27</v>
      </c>
      <c r="B60" s="44" t="s">
        <v>158</v>
      </c>
      <c r="C60" s="19" t="s">
        <v>159</v>
      </c>
      <c r="D60" s="19" t="s">
        <v>161</v>
      </c>
      <c r="E60" s="44">
        <f>1.5*E25</f>
        <v>48.300000000000004</v>
      </c>
      <c r="F60" s="33" t="s">
        <v>0</v>
      </c>
      <c r="G60" s="34"/>
    </row>
    <row r="61" spans="1:7" s="16" customFormat="1" ht="27" x14ac:dyDescent="0.15">
      <c r="A61" s="46">
        <v>28</v>
      </c>
      <c r="B61" s="44" t="s">
        <v>162</v>
      </c>
      <c r="C61" s="19" t="s">
        <v>163</v>
      </c>
      <c r="D61" s="19" t="s">
        <v>164</v>
      </c>
      <c r="E61" s="44">
        <f>0.5*E12</f>
        <v>0.3</v>
      </c>
      <c r="F61" s="33" t="s">
        <v>2</v>
      </c>
      <c r="G61" s="34"/>
    </row>
    <row r="62" spans="1:7" s="16" customFormat="1" ht="40.5" x14ac:dyDescent="0.15">
      <c r="A62" s="46">
        <v>29</v>
      </c>
      <c r="B62" s="44" t="s">
        <v>165</v>
      </c>
      <c r="C62" s="19" t="s">
        <v>166</v>
      </c>
      <c r="D62" s="19" t="s">
        <v>167</v>
      </c>
      <c r="E62" s="54">
        <v>470</v>
      </c>
      <c r="F62" s="33" t="s">
        <v>168</v>
      </c>
      <c r="G62" s="34"/>
    </row>
    <row r="63" spans="1:7" s="16" customFormat="1" ht="40.5" x14ac:dyDescent="0.15">
      <c r="A63" s="46">
        <v>30</v>
      </c>
      <c r="B63" s="44" t="s">
        <v>169</v>
      </c>
      <c r="C63" s="19" t="s">
        <v>170</v>
      </c>
      <c r="D63" s="19" t="s">
        <v>171</v>
      </c>
      <c r="E63" s="54">
        <v>1</v>
      </c>
      <c r="F63" s="33" t="s">
        <v>168</v>
      </c>
      <c r="G63" s="34"/>
    </row>
    <row r="64" spans="1:7" s="16" customFormat="1" ht="27" x14ac:dyDescent="0.15">
      <c r="A64" s="46">
        <v>31</v>
      </c>
      <c r="B64" s="44" t="s">
        <v>172</v>
      </c>
      <c r="C64" s="19" t="s">
        <v>173</v>
      </c>
      <c r="D64" s="19" t="s">
        <v>174</v>
      </c>
      <c r="E64" s="32">
        <f>1.5*E19</f>
        <v>43.740000000000009</v>
      </c>
      <c r="F64" s="33" t="s">
        <v>0</v>
      </c>
      <c r="G64" s="34"/>
    </row>
    <row r="65" spans="1:7" s="16" customFormat="1" ht="33.75" customHeight="1" x14ac:dyDescent="0.15">
      <c r="A65" s="46">
        <v>32</v>
      </c>
      <c r="B65" s="44" t="s">
        <v>175</v>
      </c>
      <c r="C65" s="19" t="s">
        <v>176</v>
      </c>
      <c r="D65" s="19"/>
      <c r="E65" s="32">
        <f>E25*1000*1000/SQRT(192)/E26/E57</f>
        <v>68.231746174761199</v>
      </c>
      <c r="F65" s="33" t="s">
        <v>177</v>
      </c>
      <c r="G65" s="34"/>
    </row>
    <row r="66" spans="1:7" s="16" customFormat="1" ht="40.5" x14ac:dyDescent="0.15">
      <c r="A66" s="46">
        <v>33</v>
      </c>
      <c r="B66" s="44" t="s">
        <v>178</v>
      </c>
      <c r="C66" s="19" t="s">
        <v>179</v>
      </c>
      <c r="D66" s="19" t="s">
        <v>167</v>
      </c>
      <c r="E66" s="54">
        <v>220</v>
      </c>
      <c r="F66" s="33" t="s">
        <v>168</v>
      </c>
      <c r="G66" s="34"/>
    </row>
    <row r="67" spans="1:7" s="16" customFormat="1" x14ac:dyDescent="0.15">
      <c r="A67" s="46">
        <v>34</v>
      </c>
      <c r="B67" s="31" t="s">
        <v>180</v>
      </c>
      <c r="C67" s="19" t="s">
        <v>181</v>
      </c>
      <c r="D67" s="19" t="s">
        <v>182</v>
      </c>
      <c r="E67" s="44">
        <v>65</v>
      </c>
      <c r="F67" s="33" t="s">
        <v>374</v>
      </c>
      <c r="G67" s="34"/>
    </row>
    <row r="68" spans="1:7" s="16" customFormat="1" ht="27" x14ac:dyDescent="0.15">
      <c r="A68" s="46">
        <v>35</v>
      </c>
      <c r="B68" s="44" t="s">
        <v>184</v>
      </c>
      <c r="C68" s="19" t="s">
        <v>185</v>
      </c>
      <c r="D68" s="19"/>
      <c r="E68" s="48">
        <f>0.015*E20</f>
        <v>0.26244000000000001</v>
      </c>
      <c r="F68" s="33" t="s">
        <v>60</v>
      </c>
      <c r="G68" s="34"/>
    </row>
    <row r="69" spans="1:7" s="16" customFormat="1" ht="27" x14ac:dyDescent="0.15">
      <c r="A69" s="46">
        <v>36</v>
      </c>
      <c r="B69" s="44" t="s">
        <v>187</v>
      </c>
      <c r="C69" s="19" t="s">
        <v>188</v>
      </c>
      <c r="D69" s="19" t="s">
        <v>189</v>
      </c>
      <c r="E69" s="44">
        <f>1.5*E25</f>
        <v>48.300000000000004</v>
      </c>
      <c r="F69" s="33" t="s">
        <v>0</v>
      </c>
      <c r="G69" s="34"/>
    </row>
    <row r="70" spans="1:7" s="16" customFormat="1" ht="40.5" x14ac:dyDescent="0.15">
      <c r="A70" s="46">
        <v>37</v>
      </c>
      <c r="B70" s="44" t="s">
        <v>190</v>
      </c>
      <c r="C70" s="19" t="s">
        <v>335</v>
      </c>
      <c r="D70" s="19"/>
      <c r="E70" s="32">
        <f>2*E68*1000000/E25/E25/E26</f>
        <v>6.9859804791481794</v>
      </c>
      <c r="F70" s="33" t="s">
        <v>191</v>
      </c>
      <c r="G70" s="34"/>
    </row>
    <row r="71" spans="1:7" s="16" customFormat="1" ht="20.25" customHeight="1" x14ac:dyDescent="0.15">
      <c r="A71" s="46">
        <v>38</v>
      </c>
      <c r="B71" s="44" t="s">
        <v>334</v>
      </c>
      <c r="C71" s="19" t="s">
        <v>336</v>
      </c>
      <c r="D71" s="19" t="s">
        <v>337</v>
      </c>
      <c r="E71" s="53">
        <v>10</v>
      </c>
      <c r="F71" s="33" t="s">
        <v>338</v>
      </c>
      <c r="G71" s="34"/>
    </row>
    <row r="72" spans="1:7" s="16" customFormat="1" ht="36" customHeight="1" x14ac:dyDescent="0.15">
      <c r="A72" s="46">
        <v>39</v>
      </c>
      <c r="B72" s="44" t="s">
        <v>192</v>
      </c>
      <c r="C72" s="19" t="s">
        <v>340</v>
      </c>
      <c r="D72" s="19"/>
      <c r="E72" s="32">
        <f>1*1000000/16/3.1415/E26/E71</f>
        <v>27.455037402514716</v>
      </c>
      <c r="F72" s="33" t="s">
        <v>1</v>
      </c>
      <c r="G72" s="34"/>
    </row>
    <row r="73" spans="1:7" s="16" customFormat="1" ht="36" customHeight="1" x14ac:dyDescent="0.15">
      <c r="A73" s="46">
        <v>40</v>
      </c>
      <c r="B73" s="44" t="s">
        <v>339</v>
      </c>
      <c r="C73" s="19" t="s">
        <v>341</v>
      </c>
      <c r="D73" s="19" t="s">
        <v>337</v>
      </c>
      <c r="E73" s="53">
        <v>50</v>
      </c>
      <c r="F73" s="33" t="s">
        <v>373</v>
      </c>
      <c r="G73" s="34"/>
    </row>
    <row r="74" spans="1:7" s="16" customFormat="1" ht="36" customHeight="1" x14ac:dyDescent="0.15">
      <c r="A74" s="46">
        <v>41</v>
      </c>
      <c r="B74" s="44" t="s">
        <v>195</v>
      </c>
      <c r="C74" s="19" t="s">
        <v>196</v>
      </c>
      <c r="D74" s="19"/>
      <c r="E74" s="48">
        <f>E20*0.015</f>
        <v>0.26244000000000001</v>
      </c>
      <c r="F74" s="33" t="s">
        <v>60</v>
      </c>
      <c r="G74" s="34"/>
    </row>
    <row r="75" spans="1:7" s="16" customFormat="1" ht="43.5" customHeight="1" x14ac:dyDescent="0.15">
      <c r="A75" s="46">
        <v>42</v>
      </c>
      <c r="B75" s="44" t="s">
        <v>378</v>
      </c>
      <c r="C75" s="19" t="s">
        <v>343</v>
      </c>
      <c r="D75" s="19"/>
      <c r="E75" s="49">
        <f>IF(0.35/E58&gt;=E74/E12/E12,E74*1000/E12/E12,0.35*1000/E58)</f>
        <v>487.3424284169518</v>
      </c>
      <c r="F75" s="33" t="s">
        <v>374</v>
      </c>
      <c r="G75" s="34"/>
    </row>
    <row r="76" spans="1:7" s="16" customFormat="1" ht="43.5" customHeight="1" x14ac:dyDescent="0.15">
      <c r="A76" s="46">
        <v>43</v>
      </c>
      <c r="B76" s="44" t="s">
        <v>342</v>
      </c>
      <c r="C76" s="19" t="s">
        <v>344</v>
      </c>
      <c r="D76" s="19" t="s">
        <v>337</v>
      </c>
      <c r="E76" s="55">
        <v>100</v>
      </c>
      <c r="F76" s="33" t="s">
        <v>374</v>
      </c>
      <c r="G76" s="34"/>
    </row>
    <row r="77" spans="1:7" s="16" customFormat="1" ht="27" x14ac:dyDescent="0.15">
      <c r="A77" s="46">
        <v>44</v>
      </c>
      <c r="B77" s="44" t="s">
        <v>197</v>
      </c>
      <c r="C77" s="19" t="s">
        <v>198</v>
      </c>
      <c r="D77" s="19" t="s">
        <v>199</v>
      </c>
      <c r="E77" s="54">
        <f>1.25*E12</f>
        <v>0.75</v>
      </c>
      <c r="F77" s="33" t="s">
        <v>2</v>
      </c>
      <c r="G77" s="34"/>
    </row>
    <row r="78" spans="1:7" s="16" customFormat="1" ht="41.25" thickBot="1" x14ac:dyDescent="0.2">
      <c r="A78" s="36">
        <v>45</v>
      </c>
      <c r="B78" s="37" t="s">
        <v>200</v>
      </c>
      <c r="C78" s="38" t="s">
        <v>201</v>
      </c>
      <c r="D78" s="38" t="s">
        <v>202</v>
      </c>
      <c r="E78" s="37">
        <v>100</v>
      </c>
      <c r="F78" s="39" t="s">
        <v>191</v>
      </c>
      <c r="G78" s="34"/>
    </row>
    <row r="79" spans="1:7" ht="31.5" customHeight="1" thickBot="1" x14ac:dyDescent="0.2"/>
    <row r="80" spans="1:7" ht="24.75" customHeight="1" x14ac:dyDescent="0.15">
      <c r="A80" s="28" t="s">
        <v>9</v>
      </c>
      <c r="B80" s="29" t="s">
        <v>5</v>
      </c>
      <c r="C80" s="29" t="s">
        <v>6</v>
      </c>
      <c r="D80" s="29" t="s">
        <v>7</v>
      </c>
      <c r="E80" s="29" t="s">
        <v>8</v>
      </c>
      <c r="F80" s="30" t="s">
        <v>37</v>
      </c>
    </row>
    <row r="81" spans="1:6" ht="37.5" customHeight="1" x14ac:dyDescent="0.15">
      <c r="A81" s="63" t="s">
        <v>203</v>
      </c>
      <c r="B81" s="64"/>
      <c r="C81" s="64"/>
      <c r="D81" s="64"/>
      <c r="E81" s="2"/>
      <c r="F81" s="41"/>
    </row>
    <row r="82" spans="1:6" ht="27" x14ac:dyDescent="0.15">
      <c r="A82" s="45">
        <v>1</v>
      </c>
      <c r="B82" s="40" t="s">
        <v>204</v>
      </c>
      <c r="C82" s="19" t="s">
        <v>208</v>
      </c>
      <c r="D82" s="19" t="s">
        <v>214</v>
      </c>
      <c r="E82" s="40" t="s">
        <v>209</v>
      </c>
      <c r="F82" s="41" t="s">
        <v>4</v>
      </c>
    </row>
    <row r="83" spans="1:6" ht="40.5" x14ac:dyDescent="0.15">
      <c r="A83" s="45">
        <v>2</v>
      </c>
      <c r="B83" s="40" t="s">
        <v>211</v>
      </c>
      <c r="C83" s="19" t="s">
        <v>210</v>
      </c>
      <c r="D83" s="19" t="s">
        <v>213</v>
      </c>
      <c r="E83" s="40">
        <f>1.5*(E25-15)</f>
        <v>25.800000000000004</v>
      </c>
      <c r="F83" s="41" t="s">
        <v>0</v>
      </c>
    </row>
    <row r="84" spans="1:6" x14ac:dyDescent="0.15">
      <c r="A84" s="45">
        <v>3</v>
      </c>
      <c r="B84" s="40" t="s">
        <v>205</v>
      </c>
      <c r="C84" s="19" t="s">
        <v>215</v>
      </c>
      <c r="D84" s="19" t="s">
        <v>216</v>
      </c>
      <c r="E84" s="40" t="s">
        <v>217</v>
      </c>
      <c r="F84" s="41" t="s">
        <v>4</v>
      </c>
    </row>
    <row r="85" spans="1:6" ht="27.75" customHeight="1" x14ac:dyDescent="0.15">
      <c r="A85" s="45">
        <v>4</v>
      </c>
      <c r="B85" s="40" t="s">
        <v>206</v>
      </c>
      <c r="C85" s="19" t="s">
        <v>218</v>
      </c>
      <c r="D85" s="19"/>
      <c r="E85" s="40">
        <f>(E24-15)/2</f>
        <v>8.4</v>
      </c>
      <c r="F85" s="41" t="s">
        <v>219</v>
      </c>
    </row>
    <row r="86" spans="1:6" ht="32.25" customHeight="1" x14ac:dyDescent="0.15">
      <c r="A86" s="45">
        <v>5</v>
      </c>
      <c r="B86" s="40" t="s">
        <v>212</v>
      </c>
      <c r="C86" s="19" t="s">
        <v>220</v>
      </c>
      <c r="D86" s="19"/>
      <c r="E86" s="25">
        <f>(E25-15)*(E25-15)/E85/1000</f>
        <v>3.5219047619047629E-2</v>
      </c>
      <c r="F86" s="41" t="s">
        <v>60</v>
      </c>
    </row>
    <row r="87" spans="1:6" ht="37.5" customHeight="1" thickBot="1" x14ac:dyDescent="0.2">
      <c r="A87" s="22">
        <v>6</v>
      </c>
      <c r="B87" s="42" t="s">
        <v>207</v>
      </c>
      <c r="C87" s="38" t="s">
        <v>221</v>
      </c>
      <c r="D87" s="38" t="s">
        <v>222</v>
      </c>
      <c r="E87" s="26">
        <v>82</v>
      </c>
      <c r="F87" s="43" t="s">
        <v>168</v>
      </c>
    </row>
    <row r="88" spans="1:6" ht="27" customHeight="1" thickBot="1" x14ac:dyDescent="0.2"/>
    <row r="89" spans="1:6" ht="24.75" customHeight="1" x14ac:dyDescent="0.15">
      <c r="A89" s="28" t="s">
        <v>9</v>
      </c>
      <c r="B89" s="29" t="s">
        <v>5</v>
      </c>
      <c r="C89" s="29" t="s">
        <v>6</v>
      </c>
      <c r="D89" s="29" t="s">
        <v>7</v>
      </c>
      <c r="E89" s="29" t="s">
        <v>8</v>
      </c>
      <c r="F89" s="30" t="s">
        <v>37</v>
      </c>
    </row>
    <row r="90" spans="1:6" ht="37.5" customHeight="1" x14ac:dyDescent="0.15">
      <c r="A90" s="63" t="s">
        <v>223</v>
      </c>
      <c r="B90" s="64"/>
      <c r="C90" s="64"/>
      <c r="D90" s="64"/>
      <c r="E90" s="2"/>
      <c r="F90" s="41"/>
    </row>
    <row r="91" spans="1:6" x14ac:dyDescent="0.15">
      <c r="A91" s="45">
        <v>1</v>
      </c>
      <c r="B91" s="40" t="s">
        <v>224</v>
      </c>
      <c r="C91" s="19" t="s">
        <v>232</v>
      </c>
      <c r="D91" s="19" t="s">
        <v>233</v>
      </c>
      <c r="E91" s="40" t="s">
        <v>234</v>
      </c>
      <c r="F91" s="41" t="s">
        <v>4</v>
      </c>
    </row>
    <row r="92" spans="1:6" ht="27" x14ac:dyDescent="0.15">
      <c r="A92" s="45">
        <v>2</v>
      </c>
      <c r="B92" s="40" t="s">
        <v>225</v>
      </c>
      <c r="C92" s="19" t="s">
        <v>235</v>
      </c>
      <c r="D92" s="19" t="s">
        <v>236</v>
      </c>
      <c r="E92" s="40">
        <v>0.15</v>
      </c>
      <c r="F92" s="41" t="s">
        <v>168</v>
      </c>
    </row>
    <row r="93" spans="1:6" ht="27" x14ac:dyDescent="0.15">
      <c r="A93" s="45">
        <v>3</v>
      </c>
      <c r="B93" s="40" t="s">
        <v>226</v>
      </c>
      <c r="C93" s="19" t="s">
        <v>237</v>
      </c>
      <c r="D93" s="19" t="s">
        <v>238</v>
      </c>
      <c r="E93" s="40" t="s">
        <v>239</v>
      </c>
      <c r="F93" s="41" t="s">
        <v>4</v>
      </c>
    </row>
    <row r="94" spans="1:6" ht="27.75" customHeight="1" x14ac:dyDescent="0.15">
      <c r="A94" s="45">
        <v>4</v>
      </c>
      <c r="B94" s="40" t="s">
        <v>227</v>
      </c>
      <c r="C94" s="19" t="s">
        <v>240</v>
      </c>
      <c r="D94" s="19" t="s">
        <v>241</v>
      </c>
      <c r="E94" s="40" t="s">
        <v>242</v>
      </c>
      <c r="F94" s="41" t="s">
        <v>4</v>
      </c>
    </row>
    <row r="95" spans="1:6" ht="32.25" customHeight="1" x14ac:dyDescent="0.15">
      <c r="A95" s="45">
        <v>5</v>
      </c>
      <c r="B95" s="40" t="s">
        <v>228</v>
      </c>
      <c r="C95" s="19" t="s">
        <v>243</v>
      </c>
      <c r="D95" s="19" t="s">
        <v>4</v>
      </c>
      <c r="E95" s="40">
        <v>4.7</v>
      </c>
      <c r="F95" s="41" t="s">
        <v>1</v>
      </c>
    </row>
    <row r="96" spans="1:6" ht="37.5" customHeight="1" x14ac:dyDescent="0.15">
      <c r="A96" s="45">
        <v>6</v>
      </c>
      <c r="B96" s="40" t="s">
        <v>229</v>
      </c>
      <c r="C96" s="19" t="s">
        <v>244</v>
      </c>
      <c r="D96" s="19" t="s">
        <v>4</v>
      </c>
      <c r="E96" s="25">
        <v>1</v>
      </c>
      <c r="F96" s="41" t="s">
        <v>372</v>
      </c>
    </row>
    <row r="97" spans="1:6" x14ac:dyDescent="0.15">
      <c r="A97" s="45">
        <v>7</v>
      </c>
      <c r="B97" s="40" t="s">
        <v>230</v>
      </c>
      <c r="C97" s="17" t="s">
        <v>245</v>
      </c>
      <c r="D97" s="17" t="s">
        <v>4</v>
      </c>
      <c r="E97" s="40">
        <v>1</v>
      </c>
      <c r="F97" s="41" t="s">
        <v>219</v>
      </c>
    </row>
    <row r="98" spans="1:6" ht="14.25" thickBot="1" x14ac:dyDescent="0.2">
      <c r="A98" s="22">
        <v>8</v>
      </c>
      <c r="B98" s="42" t="s">
        <v>231</v>
      </c>
      <c r="C98" s="18" t="s">
        <v>246</v>
      </c>
      <c r="D98" s="18" t="s">
        <v>4</v>
      </c>
      <c r="E98" s="42">
        <v>10</v>
      </c>
      <c r="F98" s="43" t="s">
        <v>219</v>
      </c>
    </row>
    <row r="99" spans="1:6" ht="31.5" customHeight="1" thickBot="1" x14ac:dyDescent="0.2"/>
    <row r="100" spans="1:6" ht="24.75" customHeight="1" x14ac:dyDescent="0.15">
      <c r="A100" s="28" t="s">
        <v>9</v>
      </c>
      <c r="B100" s="29" t="s">
        <v>5</v>
      </c>
      <c r="C100" s="29" t="s">
        <v>6</v>
      </c>
      <c r="D100" s="29" t="s">
        <v>7</v>
      </c>
      <c r="E100" s="29" t="s">
        <v>8</v>
      </c>
      <c r="F100" s="30" t="s">
        <v>37</v>
      </c>
    </row>
    <row r="101" spans="1:6" ht="37.5" customHeight="1" x14ac:dyDescent="0.15">
      <c r="A101" s="63" t="s">
        <v>247</v>
      </c>
      <c r="B101" s="64"/>
      <c r="C101" s="64"/>
      <c r="D101" s="64"/>
      <c r="E101" s="2"/>
      <c r="F101" s="41"/>
    </row>
    <row r="102" spans="1:6" ht="27" x14ac:dyDescent="0.15">
      <c r="A102" s="45">
        <v>1</v>
      </c>
      <c r="B102" s="40" t="s">
        <v>248</v>
      </c>
      <c r="C102" s="19" t="s">
        <v>249</v>
      </c>
      <c r="D102" s="19" t="s">
        <v>250</v>
      </c>
      <c r="E102" s="40" t="s">
        <v>251</v>
      </c>
      <c r="F102" s="41" t="s">
        <v>4</v>
      </c>
    </row>
    <row r="103" spans="1:6" ht="27" x14ac:dyDescent="0.15">
      <c r="A103" s="45">
        <v>2</v>
      </c>
      <c r="B103" s="40" t="s">
        <v>252</v>
      </c>
      <c r="C103" s="19" t="s">
        <v>253</v>
      </c>
      <c r="D103" s="19"/>
      <c r="E103" s="24">
        <v>150</v>
      </c>
      <c r="F103" s="41" t="s">
        <v>254</v>
      </c>
    </row>
    <row r="104" spans="1:6" ht="29.25" customHeight="1" x14ac:dyDescent="0.15">
      <c r="A104" s="45">
        <v>3</v>
      </c>
      <c r="B104" s="40" t="s">
        <v>255</v>
      </c>
      <c r="C104" s="19" t="s">
        <v>256</v>
      </c>
      <c r="D104" s="19"/>
      <c r="E104" s="40">
        <f>E17*1000/E103</f>
        <v>181.99999999999997</v>
      </c>
      <c r="F104" s="41" t="s">
        <v>219</v>
      </c>
    </row>
    <row r="105" spans="1:6" ht="27.75" customHeight="1" x14ac:dyDescent="0.15">
      <c r="A105" s="45">
        <v>4</v>
      </c>
      <c r="B105" s="40" t="s">
        <v>257</v>
      </c>
      <c r="C105" s="19" t="s">
        <v>256</v>
      </c>
      <c r="D105" s="19" t="s">
        <v>258</v>
      </c>
      <c r="E105" s="40">
        <f>0.001*E104*1000</f>
        <v>181.99999999999997</v>
      </c>
      <c r="F105" s="41" t="s">
        <v>1</v>
      </c>
    </row>
    <row r="106" spans="1:6" ht="41.25" customHeight="1" x14ac:dyDescent="0.15">
      <c r="A106" s="45">
        <v>5</v>
      </c>
      <c r="B106" s="40" t="s">
        <v>259</v>
      </c>
      <c r="C106" s="19" t="s">
        <v>260</v>
      </c>
      <c r="D106" s="19"/>
      <c r="E106" s="40">
        <v>30</v>
      </c>
      <c r="F106" s="41" t="s">
        <v>219</v>
      </c>
    </row>
    <row r="107" spans="1:6" ht="37.5" customHeight="1" x14ac:dyDescent="0.15">
      <c r="A107" s="45">
        <v>6</v>
      </c>
      <c r="B107" s="40" t="s">
        <v>345</v>
      </c>
      <c r="C107" s="19" t="s">
        <v>261</v>
      </c>
      <c r="D107" s="19" t="s">
        <v>337</v>
      </c>
      <c r="E107" s="25">
        <f>1/E6</f>
        <v>8.3333333333333329E-2</v>
      </c>
      <c r="F107" s="41" t="s">
        <v>4</v>
      </c>
    </row>
    <row r="108" spans="1:6" ht="37.5" customHeight="1" x14ac:dyDescent="0.15">
      <c r="A108" s="45">
        <v>7</v>
      </c>
      <c r="B108" s="40" t="s">
        <v>346</v>
      </c>
      <c r="C108" s="19" t="s">
        <v>348</v>
      </c>
      <c r="D108" s="19" t="s">
        <v>337</v>
      </c>
      <c r="E108" s="25">
        <f>(15-3)/E19</f>
        <v>0.41152263374485593</v>
      </c>
      <c r="F108" s="41" t="s">
        <v>337</v>
      </c>
    </row>
    <row r="109" spans="1:6" ht="37.5" customHeight="1" thickBot="1" x14ac:dyDescent="0.2">
      <c r="A109" s="22">
        <v>8</v>
      </c>
      <c r="B109" s="42" t="s">
        <v>347</v>
      </c>
      <c r="C109" s="38" t="s">
        <v>349</v>
      </c>
      <c r="D109" s="38"/>
      <c r="E109" s="56">
        <v>1</v>
      </c>
      <c r="F109" s="43" t="s">
        <v>337</v>
      </c>
    </row>
    <row r="110" spans="1:6" ht="22.5" customHeight="1" thickBot="1" x14ac:dyDescent="0.2"/>
    <row r="111" spans="1:6" ht="24.75" customHeight="1" x14ac:dyDescent="0.15">
      <c r="A111" s="28" t="s">
        <v>9</v>
      </c>
      <c r="B111" s="29" t="s">
        <v>5</v>
      </c>
      <c r="C111" s="29" t="s">
        <v>6</v>
      </c>
      <c r="D111" s="29" t="s">
        <v>7</v>
      </c>
      <c r="E111" s="29" t="s">
        <v>8</v>
      </c>
      <c r="F111" s="30" t="s">
        <v>37</v>
      </c>
    </row>
    <row r="112" spans="1:6" ht="53.25" customHeight="1" x14ac:dyDescent="0.15">
      <c r="A112" s="67" t="s">
        <v>262</v>
      </c>
      <c r="B112" s="68"/>
      <c r="C112" s="68"/>
      <c r="D112" s="69"/>
      <c r="E112" s="2"/>
      <c r="F112" s="41"/>
    </row>
    <row r="113" spans="1:6" ht="27" x14ac:dyDescent="0.15">
      <c r="A113" s="45">
        <v>1</v>
      </c>
      <c r="B113" s="40" t="s">
        <v>263</v>
      </c>
      <c r="C113" s="19" t="s">
        <v>266</v>
      </c>
      <c r="D113" s="19" t="s">
        <v>267</v>
      </c>
      <c r="E113" s="40" t="s">
        <v>377</v>
      </c>
      <c r="F113" s="41" t="s">
        <v>4</v>
      </c>
    </row>
    <row r="114" spans="1:6" ht="29.25" customHeight="1" x14ac:dyDescent="0.15">
      <c r="A114" s="45">
        <v>2</v>
      </c>
      <c r="B114" s="40" t="s">
        <v>265</v>
      </c>
      <c r="C114" s="19" t="s">
        <v>270</v>
      </c>
      <c r="D114" s="19" t="s">
        <v>4</v>
      </c>
      <c r="E114" s="24">
        <v>11.5</v>
      </c>
      <c r="F114" s="41" t="s">
        <v>219</v>
      </c>
    </row>
    <row r="115" spans="1:6" ht="57" customHeight="1" x14ac:dyDescent="0.15">
      <c r="A115" s="45">
        <v>3</v>
      </c>
      <c r="B115" s="40" t="s">
        <v>264</v>
      </c>
      <c r="C115" s="19" t="s">
        <v>269</v>
      </c>
      <c r="D115" s="19"/>
      <c r="E115" s="24">
        <v>1</v>
      </c>
      <c r="F115" s="41" t="s">
        <v>191</v>
      </c>
    </row>
    <row r="116" spans="1:6" ht="41.25" customHeight="1" x14ac:dyDescent="0.15">
      <c r="A116" s="45">
        <v>4</v>
      </c>
      <c r="B116" s="40" t="s">
        <v>271</v>
      </c>
      <c r="C116" s="19" t="s">
        <v>273</v>
      </c>
      <c r="D116" s="19" t="s">
        <v>274</v>
      </c>
      <c r="E116" s="40">
        <v>10</v>
      </c>
      <c r="F116" s="41" t="s">
        <v>219</v>
      </c>
    </row>
    <row r="117" spans="1:6" ht="53.25" customHeight="1" thickBot="1" x14ac:dyDescent="0.2">
      <c r="A117" s="22">
        <v>5</v>
      </c>
      <c r="B117" s="42" t="s">
        <v>272</v>
      </c>
      <c r="C117" s="38" t="s">
        <v>275</v>
      </c>
      <c r="D117" s="38" t="s">
        <v>276</v>
      </c>
      <c r="E117" s="42">
        <v>10</v>
      </c>
      <c r="F117" s="43" t="s">
        <v>219</v>
      </c>
    </row>
    <row r="118" spans="1:6" ht="32.25" customHeight="1" thickBot="1" x14ac:dyDescent="0.2"/>
    <row r="119" spans="1:6" ht="24.75" customHeight="1" x14ac:dyDescent="0.15">
      <c r="A119" s="28" t="s">
        <v>9</v>
      </c>
      <c r="B119" s="29" t="s">
        <v>5</v>
      </c>
      <c r="C119" s="29" t="s">
        <v>6</v>
      </c>
      <c r="D119" s="29" t="s">
        <v>7</v>
      </c>
      <c r="E119" s="29" t="s">
        <v>8</v>
      </c>
      <c r="F119" s="30" t="s">
        <v>37</v>
      </c>
    </row>
    <row r="120" spans="1:6" ht="53.25" customHeight="1" x14ac:dyDescent="0.15">
      <c r="A120" s="65" t="s">
        <v>277</v>
      </c>
      <c r="B120" s="66"/>
      <c r="C120" s="66"/>
      <c r="D120" s="66"/>
      <c r="E120" s="2"/>
      <c r="F120" s="41"/>
    </row>
    <row r="121" spans="1:6" ht="27" x14ac:dyDescent="0.15">
      <c r="A121" s="45">
        <v>1</v>
      </c>
      <c r="B121" s="40" t="s">
        <v>278</v>
      </c>
      <c r="C121" s="19" t="s">
        <v>282</v>
      </c>
      <c r="D121" s="19" t="s">
        <v>286</v>
      </c>
      <c r="E121" s="40">
        <v>100</v>
      </c>
      <c r="F121" s="41" t="s">
        <v>219</v>
      </c>
    </row>
    <row r="122" spans="1:6" x14ac:dyDescent="0.15">
      <c r="A122" s="45">
        <v>2</v>
      </c>
      <c r="B122" s="40" t="s">
        <v>350</v>
      </c>
      <c r="C122" s="19" t="s">
        <v>354</v>
      </c>
      <c r="D122" s="19" t="s">
        <v>337</v>
      </c>
      <c r="E122" s="57">
        <v>51</v>
      </c>
      <c r="F122" s="41" t="s">
        <v>219</v>
      </c>
    </row>
    <row r="123" spans="1:6" ht="29.25" customHeight="1" x14ac:dyDescent="0.15">
      <c r="A123" s="45">
        <v>3</v>
      </c>
      <c r="B123" s="40" t="s">
        <v>279</v>
      </c>
      <c r="C123" s="19" t="s">
        <v>283</v>
      </c>
      <c r="D123" s="19"/>
      <c r="E123" s="50">
        <f>1.8518*E13*E76*E122/1000</f>
        <v>0.94441799999999998</v>
      </c>
      <c r="F123" s="41" t="s">
        <v>219</v>
      </c>
    </row>
    <row r="124" spans="1:6" ht="21.75" customHeight="1" x14ac:dyDescent="0.15">
      <c r="A124" s="45">
        <v>4</v>
      </c>
      <c r="B124" s="40" t="s">
        <v>351</v>
      </c>
      <c r="C124" s="19" t="s">
        <v>355</v>
      </c>
      <c r="D124" s="19" t="s">
        <v>337</v>
      </c>
      <c r="E124" s="57">
        <v>1</v>
      </c>
      <c r="F124" s="41" t="s">
        <v>219</v>
      </c>
    </row>
    <row r="125" spans="1:6" ht="46.5" customHeight="1" x14ac:dyDescent="0.15">
      <c r="A125" s="45">
        <v>5</v>
      </c>
      <c r="B125" s="40" t="s">
        <v>280</v>
      </c>
      <c r="C125" s="19" t="s">
        <v>284</v>
      </c>
      <c r="D125" s="19"/>
      <c r="E125" s="25">
        <f>43.4783*E11*E76*E114/1000/1000</f>
        <v>2.2500020249999997</v>
      </c>
      <c r="F125" s="41" t="s">
        <v>219</v>
      </c>
    </row>
    <row r="126" spans="1:6" ht="21" customHeight="1" x14ac:dyDescent="0.15">
      <c r="A126" s="45">
        <v>6</v>
      </c>
      <c r="B126" s="40" t="s">
        <v>352</v>
      </c>
      <c r="C126" s="19" t="s">
        <v>356</v>
      </c>
      <c r="D126" s="19" t="s">
        <v>337</v>
      </c>
      <c r="E126" s="57">
        <v>2.2000000000000002</v>
      </c>
      <c r="F126" s="41" t="s">
        <v>219</v>
      </c>
    </row>
    <row r="127" spans="1:6" ht="41.25" customHeight="1" x14ac:dyDescent="0.15">
      <c r="A127" s="45">
        <v>7</v>
      </c>
      <c r="B127" s="40" t="s">
        <v>281</v>
      </c>
      <c r="C127" s="19" t="s">
        <v>285</v>
      </c>
      <c r="D127" s="19"/>
      <c r="E127" s="50">
        <f>0.54*E126*1000/E12/E76</f>
        <v>19.800000000000004</v>
      </c>
      <c r="F127" s="41" t="s">
        <v>219</v>
      </c>
    </row>
    <row r="128" spans="1:6" ht="23.25" customHeight="1" thickBot="1" x14ac:dyDescent="0.2">
      <c r="A128" s="22">
        <v>8</v>
      </c>
      <c r="B128" s="42" t="s">
        <v>353</v>
      </c>
      <c r="C128" s="38" t="s">
        <v>357</v>
      </c>
      <c r="D128" s="38" t="s">
        <v>337</v>
      </c>
      <c r="E128" s="58">
        <v>20</v>
      </c>
      <c r="F128" s="43" t="s">
        <v>219</v>
      </c>
    </row>
    <row r="129" spans="1:6" ht="30.75" customHeight="1" thickBot="1" x14ac:dyDescent="0.2"/>
    <row r="130" spans="1:6" ht="24.75" customHeight="1" x14ac:dyDescent="0.15">
      <c r="A130" s="28" t="s">
        <v>9</v>
      </c>
      <c r="B130" s="29" t="s">
        <v>5</v>
      </c>
      <c r="C130" s="29" t="s">
        <v>6</v>
      </c>
      <c r="D130" s="29" t="s">
        <v>7</v>
      </c>
      <c r="E130" s="29" t="s">
        <v>8</v>
      </c>
      <c r="F130" s="30" t="s">
        <v>37</v>
      </c>
    </row>
    <row r="131" spans="1:6" ht="53.25" customHeight="1" x14ac:dyDescent="0.15">
      <c r="A131" s="65" t="s">
        <v>287</v>
      </c>
      <c r="B131" s="66"/>
      <c r="C131" s="66"/>
      <c r="D131" s="66"/>
      <c r="E131" s="2"/>
      <c r="F131" s="41"/>
    </row>
    <row r="132" spans="1:6" ht="41.25" customHeight="1" x14ac:dyDescent="0.15">
      <c r="A132" s="45">
        <v>1</v>
      </c>
      <c r="B132" s="40" t="s">
        <v>288</v>
      </c>
      <c r="C132" s="19" t="s">
        <v>292</v>
      </c>
      <c r="D132" s="19"/>
      <c r="E132" s="50">
        <f>E9*(E10*E109*E6-2.3)*1000/E103/E10</f>
        <v>173.10857142857142</v>
      </c>
      <c r="F132" s="41" t="s">
        <v>219</v>
      </c>
    </row>
    <row r="133" spans="1:6" ht="36.75" customHeight="1" x14ac:dyDescent="0.15">
      <c r="A133" s="45">
        <v>2</v>
      </c>
      <c r="B133" s="40" t="s">
        <v>289</v>
      </c>
      <c r="C133" s="19" t="s">
        <v>293</v>
      </c>
      <c r="D133" s="19"/>
      <c r="E133" s="50">
        <f>2.3*(E9-E10)*1000/E103/E10</f>
        <v>5.9580952380952388</v>
      </c>
      <c r="F133" s="41" t="s">
        <v>219</v>
      </c>
    </row>
    <row r="134" spans="1:6" ht="40.5" customHeight="1" x14ac:dyDescent="0.15">
      <c r="A134" s="45">
        <v>3</v>
      </c>
      <c r="B134" s="40" t="s">
        <v>290</v>
      </c>
      <c r="C134" s="19" t="s">
        <v>294</v>
      </c>
      <c r="D134" s="19"/>
      <c r="E134" s="50">
        <f>2.3*(E9*E109*E6-2.3)*1000/E103/(E8*E109*E6-2.3)</f>
        <v>16.474133333333338</v>
      </c>
      <c r="F134" s="41" t="s">
        <v>219</v>
      </c>
    </row>
    <row r="135" spans="1:6" ht="41.25" customHeight="1" x14ac:dyDescent="0.15">
      <c r="A135" s="45">
        <v>4</v>
      </c>
      <c r="B135" s="40" t="s">
        <v>291</v>
      </c>
      <c r="C135" s="19" t="s">
        <v>295</v>
      </c>
      <c r="D135" s="19"/>
      <c r="E135" s="50">
        <f>2.3*(E9*E109*E6-2.3)*1000/E103/(E9-E8)/E109/E6</f>
        <v>221.42652329749069</v>
      </c>
      <c r="F135" s="41" t="s">
        <v>219</v>
      </c>
    </row>
    <row r="136" spans="1:6" ht="30.75" customHeight="1" x14ac:dyDescent="0.15">
      <c r="A136" s="45">
        <v>5</v>
      </c>
      <c r="B136" s="40" t="s">
        <v>362</v>
      </c>
      <c r="C136" s="19" t="s">
        <v>358</v>
      </c>
      <c r="D136" s="19"/>
      <c r="E136" s="59">
        <v>160</v>
      </c>
      <c r="F136" s="41" t="s">
        <v>219</v>
      </c>
    </row>
    <row r="137" spans="1:6" ht="26.25" customHeight="1" x14ac:dyDescent="0.15">
      <c r="A137" s="45">
        <v>6</v>
      </c>
      <c r="B137" s="40" t="s">
        <v>363</v>
      </c>
      <c r="C137" s="19" t="s">
        <v>359</v>
      </c>
      <c r="D137" s="19"/>
      <c r="E137" s="59">
        <v>5.6</v>
      </c>
      <c r="F137" s="41" t="s">
        <v>219</v>
      </c>
    </row>
    <row r="138" spans="1:6" ht="26.25" customHeight="1" x14ac:dyDescent="0.15">
      <c r="A138" s="45">
        <v>7</v>
      </c>
      <c r="B138" s="40" t="s">
        <v>364</v>
      </c>
      <c r="C138" s="19" t="s">
        <v>360</v>
      </c>
      <c r="D138" s="19"/>
      <c r="E138" s="59">
        <v>15</v>
      </c>
      <c r="F138" s="41" t="s">
        <v>219</v>
      </c>
    </row>
    <row r="139" spans="1:6" ht="22.5" customHeight="1" thickBot="1" x14ac:dyDescent="0.2">
      <c r="A139" s="22">
        <v>8</v>
      </c>
      <c r="B139" s="42" t="s">
        <v>365</v>
      </c>
      <c r="C139" s="38" t="s">
        <v>361</v>
      </c>
      <c r="D139" s="38"/>
      <c r="E139" s="60">
        <v>300</v>
      </c>
      <c r="F139" s="43" t="s">
        <v>219</v>
      </c>
    </row>
    <row r="140" spans="1:6" ht="26.25" customHeight="1" thickBot="1" x14ac:dyDescent="0.2"/>
    <row r="141" spans="1:6" ht="24.75" customHeight="1" x14ac:dyDescent="0.15">
      <c r="A141" s="28" t="s">
        <v>9</v>
      </c>
      <c r="B141" s="29" t="s">
        <v>5</v>
      </c>
      <c r="C141" s="29" t="s">
        <v>6</v>
      </c>
      <c r="D141" s="29" t="s">
        <v>7</v>
      </c>
      <c r="E141" s="29" t="s">
        <v>8</v>
      </c>
      <c r="F141" s="30" t="s">
        <v>37</v>
      </c>
    </row>
    <row r="142" spans="1:6" ht="53.25" customHeight="1" x14ac:dyDescent="0.15">
      <c r="A142" s="65" t="s">
        <v>296</v>
      </c>
      <c r="B142" s="66"/>
      <c r="C142" s="66"/>
      <c r="D142" s="66"/>
      <c r="E142" s="2"/>
      <c r="F142" s="41"/>
    </row>
    <row r="143" spans="1:6" ht="41.25" customHeight="1" x14ac:dyDescent="0.15">
      <c r="A143" s="45">
        <v>1</v>
      </c>
      <c r="B143" s="40" t="s">
        <v>297</v>
      </c>
      <c r="C143" s="19" t="s">
        <v>300</v>
      </c>
      <c r="D143" s="19"/>
      <c r="E143" s="50">
        <f>0.28*E26*E57*E126/(E19+E27+E28)/E76</f>
        <v>6.9561373159574069</v>
      </c>
      <c r="F143" s="41" t="s">
        <v>219</v>
      </c>
    </row>
    <row r="144" spans="1:6" ht="41.25" customHeight="1" x14ac:dyDescent="0.15">
      <c r="A144" s="45">
        <v>2</v>
      </c>
      <c r="B144" s="40" t="s">
        <v>366</v>
      </c>
      <c r="C144" s="19" t="s">
        <v>300</v>
      </c>
      <c r="D144" s="19"/>
      <c r="E144" s="59">
        <v>6.8</v>
      </c>
      <c r="F144" s="41" t="s">
        <v>219</v>
      </c>
    </row>
    <row r="145" spans="1:6" ht="36.75" customHeight="1" x14ac:dyDescent="0.15">
      <c r="A145" s="45">
        <v>3</v>
      </c>
      <c r="B145" s="40" t="s">
        <v>298</v>
      </c>
      <c r="C145" s="19" t="s">
        <v>301</v>
      </c>
      <c r="D145" s="19"/>
      <c r="E145" s="50">
        <f>10*1000/2/PI()/E144/E26</f>
        <v>3.229909139217876</v>
      </c>
      <c r="F145" s="41" t="s">
        <v>191</v>
      </c>
    </row>
    <row r="146" spans="1:6" ht="36.75" customHeight="1" x14ac:dyDescent="0.15">
      <c r="A146" s="45">
        <v>4</v>
      </c>
      <c r="B146" s="40" t="s">
        <v>367</v>
      </c>
      <c r="C146" s="19" t="s">
        <v>301</v>
      </c>
      <c r="D146" s="19"/>
      <c r="E146" s="59">
        <v>3.3</v>
      </c>
      <c r="F146" s="41" t="s">
        <v>191</v>
      </c>
    </row>
    <row r="147" spans="1:6" ht="41.25" customHeight="1" x14ac:dyDescent="0.15">
      <c r="A147" s="45">
        <v>5</v>
      </c>
      <c r="B147" s="40" t="s">
        <v>299</v>
      </c>
      <c r="C147" s="19" t="s">
        <v>301</v>
      </c>
      <c r="D147" s="19"/>
      <c r="E147" s="50">
        <f>1*1000/2/PI()/E144/E26</f>
        <v>0.32299091392178764</v>
      </c>
      <c r="F147" s="41" t="s">
        <v>191</v>
      </c>
    </row>
    <row r="148" spans="1:6" ht="41.25" customHeight="1" thickBot="1" x14ac:dyDescent="0.2">
      <c r="A148" s="22">
        <v>6</v>
      </c>
      <c r="B148" s="42" t="s">
        <v>368</v>
      </c>
      <c r="C148" s="38" t="s">
        <v>301</v>
      </c>
      <c r="D148" s="38"/>
      <c r="E148" s="60">
        <v>0.3</v>
      </c>
      <c r="F148" s="43" t="s">
        <v>191</v>
      </c>
    </row>
    <row r="149" spans="1:6" ht="27.75" customHeight="1" thickBot="1" x14ac:dyDescent="0.2"/>
    <row r="150" spans="1:6" ht="24.75" customHeight="1" x14ac:dyDescent="0.15">
      <c r="A150" s="28" t="s">
        <v>9</v>
      </c>
      <c r="B150" s="29" t="s">
        <v>5</v>
      </c>
      <c r="C150" s="29" t="s">
        <v>6</v>
      </c>
      <c r="D150" s="29" t="s">
        <v>7</v>
      </c>
      <c r="E150" s="29" t="s">
        <v>8</v>
      </c>
      <c r="F150" s="30" t="s">
        <v>37</v>
      </c>
    </row>
    <row r="151" spans="1:6" ht="53.25" customHeight="1" x14ac:dyDescent="0.15">
      <c r="A151" s="65" t="s">
        <v>303</v>
      </c>
      <c r="B151" s="66"/>
      <c r="C151" s="66"/>
      <c r="D151" s="66"/>
      <c r="E151" s="2"/>
      <c r="F151" s="41"/>
    </row>
    <row r="152" spans="1:6" ht="41.25" customHeight="1" x14ac:dyDescent="0.15">
      <c r="A152" s="45">
        <v>1</v>
      </c>
      <c r="B152" s="44" t="s">
        <v>304</v>
      </c>
      <c r="C152" s="19" t="s">
        <v>305</v>
      </c>
      <c r="D152" s="19" t="s">
        <v>306</v>
      </c>
      <c r="E152" s="50">
        <v>1</v>
      </c>
      <c r="F152" s="41" t="s">
        <v>77</v>
      </c>
    </row>
    <row r="153" spans="1:6" ht="74.25" customHeight="1" x14ac:dyDescent="0.15">
      <c r="A153" s="45">
        <v>2</v>
      </c>
      <c r="B153" s="40" t="s">
        <v>308</v>
      </c>
      <c r="C153" s="19" t="s">
        <v>311</v>
      </c>
      <c r="D153" s="19"/>
      <c r="E153" s="50">
        <f>(0.625*E25*(E132+E133)*1000/(E109*E12*E26*E57*E19))*SQRT((1+(16*3.1415*E152*E26*E57*E66*E19/E25/1000000)*(16*3.1415*E152*E26*E57*E66*E19/E25/1000000))/(1+(2*3.1415*E152*E67*E66/1000000)*(2*3.1415*E152*E67*E66/1000000)))</f>
        <v>2054.3726955524362</v>
      </c>
      <c r="F153" s="41" t="s">
        <v>219</v>
      </c>
    </row>
    <row r="154" spans="1:6" ht="74.25" customHeight="1" x14ac:dyDescent="0.15">
      <c r="A154" s="45">
        <v>3</v>
      </c>
      <c r="B154" s="40" t="s">
        <v>369</v>
      </c>
      <c r="C154" s="19" t="s">
        <v>311</v>
      </c>
      <c r="D154" s="19"/>
      <c r="E154" s="59">
        <v>2000</v>
      </c>
      <c r="F154" s="41" t="s">
        <v>219</v>
      </c>
    </row>
    <row r="155" spans="1:6" ht="41.25" customHeight="1" x14ac:dyDescent="0.15">
      <c r="A155" s="45">
        <v>4</v>
      </c>
      <c r="B155" s="40" t="s">
        <v>309</v>
      </c>
      <c r="C155" s="19" t="s">
        <v>312</v>
      </c>
      <c r="D155" s="19"/>
      <c r="E155" s="50">
        <f>E66*E67/E154</f>
        <v>7.15</v>
      </c>
      <c r="F155" s="41" t="s">
        <v>313</v>
      </c>
    </row>
    <row r="156" spans="1:6" ht="41.25" customHeight="1" x14ac:dyDescent="0.15">
      <c r="A156" s="45">
        <v>5</v>
      </c>
      <c r="B156" s="40" t="s">
        <v>370</v>
      </c>
      <c r="C156" s="19" t="s">
        <v>312</v>
      </c>
      <c r="D156" s="19"/>
      <c r="E156" s="59">
        <v>6.8</v>
      </c>
      <c r="F156" s="41" t="s">
        <v>313</v>
      </c>
    </row>
    <row r="157" spans="1:6" ht="35.25" customHeight="1" x14ac:dyDescent="0.15">
      <c r="A157" s="45">
        <v>6</v>
      </c>
      <c r="B157" s="40" t="s">
        <v>310</v>
      </c>
      <c r="C157" s="19" t="s">
        <v>312</v>
      </c>
      <c r="D157" s="17"/>
      <c r="E157" s="50">
        <f>8*E26*E57*E66*E19/E25/E154/1000</f>
        <v>27.141452876046451</v>
      </c>
      <c r="F157" s="41" t="s">
        <v>191</v>
      </c>
    </row>
    <row r="158" spans="1:6" ht="35.25" customHeight="1" thickBot="1" x14ac:dyDescent="0.2">
      <c r="A158" s="22">
        <v>7</v>
      </c>
      <c r="B158" s="42" t="s">
        <v>371</v>
      </c>
      <c r="C158" s="38" t="s">
        <v>312</v>
      </c>
      <c r="D158" s="18"/>
      <c r="E158" s="60">
        <v>27</v>
      </c>
      <c r="F158" s="43" t="s">
        <v>191</v>
      </c>
    </row>
    <row r="159" spans="1:6" ht="28.5" customHeight="1" thickBot="1" x14ac:dyDescent="0.2"/>
    <row r="160" spans="1:6" ht="24.75" customHeight="1" x14ac:dyDescent="0.15">
      <c r="A160" s="28" t="s">
        <v>9</v>
      </c>
      <c r="B160" s="29" t="s">
        <v>5</v>
      </c>
      <c r="C160" s="29" t="s">
        <v>6</v>
      </c>
      <c r="D160" s="29" t="s">
        <v>7</v>
      </c>
      <c r="E160" s="29" t="s">
        <v>8</v>
      </c>
      <c r="F160" s="30" t="s">
        <v>37</v>
      </c>
    </row>
    <row r="161" spans="1:6" ht="53.25" customHeight="1" x14ac:dyDescent="0.15">
      <c r="A161" s="67" t="s">
        <v>315</v>
      </c>
      <c r="B161" s="68"/>
      <c r="C161" s="68"/>
      <c r="D161" s="69"/>
      <c r="E161" s="2"/>
      <c r="F161" s="41"/>
    </row>
    <row r="162" spans="1:6" ht="30.75" customHeight="1" x14ac:dyDescent="0.15">
      <c r="A162" s="45">
        <v>1</v>
      </c>
      <c r="B162" s="44" t="s">
        <v>316</v>
      </c>
      <c r="C162" s="19" t="s">
        <v>318</v>
      </c>
      <c r="D162" s="19" t="s">
        <v>320</v>
      </c>
      <c r="E162" s="50" t="s">
        <v>322</v>
      </c>
      <c r="F162" s="41" t="s">
        <v>4</v>
      </c>
    </row>
    <row r="163" spans="1:6" ht="33.75" customHeight="1" x14ac:dyDescent="0.15">
      <c r="A163" s="45">
        <v>2</v>
      </c>
      <c r="B163" s="44" t="s">
        <v>317</v>
      </c>
      <c r="C163" s="19" t="s">
        <v>319</v>
      </c>
      <c r="D163" s="19" t="s">
        <v>321</v>
      </c>
      <c r="E163" s="50" t="s">
        <v>323</v>
      </c>
      <c r="F163" s="41" t="s">
        <v>4</v>
      </c>
    </row>
    <row r="164" spans="1:6" ht="41.25" customHeight="1" x14ac:dyDescent="0.15">
      <c r="A164" s="45">
        <v>3</v>
      </c>
      <c r="B164" s="44" t="s">
        <v>324</v>
      </c>
      <c r="C164" s="19" t="s">
        <v>328</v>
      </c>
      <c r="D164" s="19" t="s">
        <v>329</v>
      </c>
      <c r="E164" s="50" t="s">
        <v>217</v>
      </c>
      <c r="F164" s="41" t="s">
        <v>4</v>
      </c>
    </row>
    <row r="165" spans="1:6" ht="35.25" customHeight="1" x14ac:dyDescent="0.15">
      <c r="A165" s="45">
        <v>4</v>
      </c>
      <c r="B165" s="40" t="s">
        <v>325</v>
      </c>
      <c r="C165" s="19" t="s">
        <v>330</v>
      </c>
      <c r="D165" s="19" t="s">
        <v>333</v>
      </c>
      <c r="E165" s="50">
        <f>4.3/0.01</f>
        <v>430</v>
      </c>
      <c r="F165" s="41" t="s">
        <v>1</v>
      </c>
    </row>
    <row r="166" spans="1:6" ht="40.5" x14ac:dyDescent="0.15">
      <c r="A166" s="45">
        <v>5</v>
      </c>
      <c r="B166" s="40" t="s">
        <v>326</v>
      </c>
      <c r="C166" s="19" t="s">
        <v>331</v>
      </c>
      <c r="D166" s="17"/>
      <c r="E166" s="40">
        <f>(E24-7)/0.01/1000</f>
        <v>2.48</v>
      </c>
      <c r="F166" s="41" t="s">
        <v>219</v>
      </c>
    </row>
    <row r="167" spans="1:6" ht="14.25" thickBot="1" x14ac:dyDescent="0.2">
      <c r="A167" s="22">
        <v>6</v>
      </c>
      <c r="B167" s="42" t="s">
        <v>327</v>
      </c>
      <c r="C167" s="18" t="s">
        <v>332</v>
      </c>
      <c r="D167" s="18" t="s">
        <v>286</v>
      </c>
      <c r="E167" s="42">
        <v>10</v>
      </c>
      <c r="F167" s="43" t="s">
        <v>219</v>
      </c>
    </row>
  </sheetData>
  <mergeCells count="13">
    <mergeCell ref="A90:D90"/>
    <mergeCell ref="A1:F1"/>
    <mergeCell ref="A3:D4"/>
    <mergeCell ref="A23:D23"/>
    <mergeCell ref="A33:D33"/>
    <mergeCell ref="A81:D81"/>
    <mergeCell ref="A161:D161"/>
    <mergeCell ref="A101:D101"/>
    <mergeCell ref="A112:D112"/>
    <mergeCell ref="A120:D120"/>
    <mergeCell ref="A131:D131"/>
    <mergeCell ref="A142:D142"/>
    <mergeCell ref="A151:D151"/>
  </mergeCells>
  <phoneticPr fontId="2" type="noConversion"/>
  <pageMargins left="0.7" right="0.7" top="0.75" bottom="0.75" header="0.3" footer="0.3"/>
  <pageSetup paperSize="9" orientation="portrait" horizontalDpi="300" verticalDpi="300" copies="0" r:id="rId1"/>
  <drawing r:id="rId2"/>
  <legacyDrawing r:id="rId3"/>
  <oleObjects>
    <mc:AlternateContent xmlns:mc="http://schemas.openxmlformats.org/markup-compatibility/2006">
      <mc:Choice Requires="x14">
        <oleObject progId="包装程序外壳对象" dvAspect="DVASPECT_ICON" shapeId="6145" r:id="rId4">
          <objectPr defaultSize="0" r:id="rId5">
            <anchor moveWithCells="1">
              <from>
                <xdr:col>1</xdr:col>
                <xdr:colOff>228600</xdr:colOff>
                <xdr:row>0</xdr:row>
                <xdr:rowOff>200025</xdr:rowOff>
              </from>
              <to>
                <xdr:col>2</xdr:col>
                <xdr:colOff>752475</xdr:colOff>
                <xdr:row>0</xdr:row>
                <xdr:rowOff>733425</xdr:rowOff>
              </to>
            </anchor>
          </objectPr>
        </oleObject>
      </mc:Choice>
      <mc:Fallback>
        <oleObject progId="包装程序外壳对象" dvAspect="DVASPECT_ICON" shapeId="6145" r:id="rId4"/>
      </mc:Fallback>
    </mc:AlternateContent>
    <mc:AlternateContent xmlns:mc="http://schemas.openxmlformats.org/markup-compatibility/2006">
      <mc:Choice Requires="x14">
        <oleObject progId="包装程序外壳对象" dvAspect="DVASPECT_ICON" shapeId="6146" r:id="rId6">
          <objectPr defaultSize="0" r:id="rId7">
            <anchor moveWithCells="1">
              <from>
                <xdr:col>2</xdr:col>
                <xdr:colOff>1076325</xdr:colOff>
                <xdr:row>0</xdr:row>
                <xdr:rowOff>200025</xdr:rowOff>
              </from>
              <to>
                <xdr:col>3</xdr:col>
                <xdr:colOff>752475</xdr:colOff>
                <xdr:row>0</xdr:row>
                <xdr:rowOff>733425</xdr:rowOff>
              </to>
            </anchor>
          </objectPr>
        </oleObject>
      </mc:Choice>
      <mc:Fallback>
        <oleObject progId="包装程序外壳对象" dvAspect="DVASPECT_ICON" shapeId="614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设计指南（原版）</vt:lpstr>
      <vt:lpstr>设计指南（设计用）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2016-04-12T06:07:19Z</dcterms:modified>
</cp:coreProperties>
</file>